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NUEVO ORDEN CARPETAS copia\DOCUMENTOS\Trabajo\Estadísticas\Documentos\2022\10 Octubre\"/>
    </mc:Choice>
  </mc:AlternateContent>
  <xr:revisionPtr revIDLastSave="0" documentId="13_ncr:1_{1FE34BA2-55BB-4DA7-A7B2-829E6D17B64E}" xr6:coauthVersionLast="47" xr6:coauthVersionMax="47" xr10:uidLastSave="{00000000-0000-0000-0000-000000000000}"/>
  <bookViews>
    <workbookView xWindow="-120" yWindow="-120" windowWidth="38640" windowHeight="21240" tabRatio="498" activeTab="1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(G)'!$Q$45:$R$68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7" i="1" l="1"/>
  <c r="H57" i="1"/>
  <c r="E57" i="1"/>
  <c r="F12" i="1" l="1"/>
  <c r="F13" i="1" l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l="1"/>
  <c r="H28" i="2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57" i="1" s="1"/>
  <c r="F42" i="1"/>
  <c r="F41" i="1"/>
  <c r="J42" i="1"/>
  <c r="G43" i="1" l="1"/>
  <c r="U61" i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12" i="1" s="1"/>
  <c r="G25" i="1"/>
  <c r="G29" i="1"/>
  <c r="F32" i="1"/>
  <c r="E30" i="2" s="1"/>
  <c r="G13" i="1" l="1"/>
  <c r="D17" i="1"/>
  <c r="G14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<sst xmlns="http://schemas.openxmlformats.org/spreadsheetml/2006/main" count="309" uniqueCount="133">
  <si>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</si>
  <si>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</si>
  <si>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</si>
  <si>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</si>
  <si>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</si>
  <si>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</si>
  <si>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</si>
  <si>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</si>
  <si>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</si>
  <si>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</si>
  <si>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</si>
  <si>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</si>
  <si>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</si>
  <si>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</si>
  <si>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</si>
  <si>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</si>
  <si>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</si>
  <si>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</si>
  <si>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</si>
  <si>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</si>
  <si>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</si>
  <si>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</si>
  <si>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</si>
  <si>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</si>
  <si>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</si>
  <si>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</si>
  <si>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</si>
  <si>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</si>
  <si>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</si>
  <si>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</si>
  <si>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</si>
  <si>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</si>
  <si>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</si>
  <si>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</si>
  <si>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</si>
  <si>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</si>
  <si>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</si>
  <si>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</si>
  <si>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</si>
  <si>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</si>
  <si>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</si>
  <si>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</si>
  <si>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</si>
  <si>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</si>
  <si>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</si>
  <si>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</si>
  <si>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</si>
  <si>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</si>
  <si>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</si>
  <si>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</si>
  <si>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</si>
  <si>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</si>
  <si>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</si>
  <si>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</si>
  <si>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</si>
  <si>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</si>
  <si>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</si>
  <si>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</si>
  <si>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</si>
  <si>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</si>
  <si>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</si>
  <si>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</si>
  <si>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</si>
  <si>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</si>
  <si>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</si>
  <si>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</si>
  <si>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</si>
  <si>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</si>
  <si>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</si>
  <si>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</si>
  <si>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</si>
  <si>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</si>
  <si>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</si>
  <si>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</si>
  <si>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</si>
  <si>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</si>
  <si>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</si>
  <si>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</si>
  <si>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</si>
  <si>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</si>
  <si>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</si>
  <si>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</si>
  <si>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</si>
  <si>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</si>
  <si>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</si>
  <si>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</si>
  <si>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</si>
  <si>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</si>
  <si>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</si>
  <si>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</si>
  <si>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</si>
  <si>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</si>
  <si>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</si>
  <si>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</si>
  <si>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</si>
  <si>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</si>
  <si>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</si>
  <si>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</si>
  <si>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</si>
  <si>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</si>
  <si>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</si>
  <si>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</si>
  <si>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</si>
  <si>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</si>
  <si>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</si>
  <si>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</si>
  <si>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</si>
  <si>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</si>
  <si>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</si>
  <si>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</si>
  <si>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</si>
  <si>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</si>
  <si>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</si>
  <si>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</si>
  <si>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</si>
  <si>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</si>
  <si>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</si>
  <si>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</si>
  <si>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2022 vs 2021</t>
  </si>
  <si>
    <t>Cuadro N° 4 : Producción de energía eléctrica nacional según destino y recurso 2022 vs 2021</t>
  </si>
  <si>
    <t>Cuadro N° 3 : Producción de energía eléctrica nacional según mercado 2022 vs 2021</t>
  </si>
  <si>
    <t>Cuadro N° 5: Producción de energía eléctrica nacional por tipo de recurso energético 2022 vs 2021</t>
  </si>
  <si>
    <t>Cuadro N° 6: Producción de energía eléctrica con Recurso Convencional y No Convencional 2022 vs 2021</t>
  </si>
  <si>
    <t>Cuadro N° 7: Producción de energía eléctrica según tipo de participación en el Mercado Eléctrico 2022 vs 2021</t>
  </si>
  <si>
    <t>3.1 Producción de energía eléctrica (GWh) nacional según zona 2022 vs 2021</t>
  </si>
  <si>
    <t>dpaz</t>
  </si>
  <si>
    <t>1. RESUMEN NACIONAL AL MES DE SETIEMBRE 2022</t>
  </si>
  <si>
    <t>Setiembre</t>
  </si>
  <si>
    <t>Enero - Setiembre</t>
  </si>
  <si>
    <t>Grafico N° 11: Generación de energía eléctrica por Región, al mes de setiembre 2022</t>
  </si>
  <si>
    <t>Cuadro N° 8: Producción de energía eléctrica nacional por zona del país, al mes de setiembre</t>
  </si>
  <si>
    <t>3.2 Producción de energía eléctrica (GWh) por origen y zona al mes de setiembre 2022</t>
  </si>
  <si>
    <t>Setiembre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</si>
</sst>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0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1" fontId="100" fillId="0" borderId="0" xfId="0" applyNumberFormat="1" applyFont="1"/>
    <xf numFmtId="0" fontId="92" fillId="68" borderId="81" xfId="0" applyFont="1" applyFill="1" applyBorder="1" applyAlignment="1">
      <alignment horizontal="center"/>
    </xf>
    <xf numFmtId="3" fontId="0" fillId="71" borderId="82" xfId="0" applyNumberFormat="1" applyFill="1" applyBorder="1"/>
    <xf numFmtId="3" fontId="0" fillId="68" borderId="81" xfId="0" applyNumberFormat="1" applyFill="1" applyBorder="1"/>
    <xf numFmtId="3" fontId="0" fillId="68" borderId="83" xfId="0" applyNumberFormat="1" applyFill="1" applyBorder="1"/>
    <xf numFmtId="3" fontId="0" fillId="71" borderId="84" xfId="0" applyNumberFormat="1" applyFont="1" applyFill="1" applyBorder="1"/>
    <xf numFmtId="0" fontId="92" fillId="69" borderId="81" xfId="0" applyFont="1" applyFill="1" applyBorder="1" applyAlignment="1">
      <alignment horizontal="center"/>
    </xf>
    <xf numFmtId="3" fontId="99" fillId="0" borderId="86" xfId="0" applyNumberFormat="1" applyFont="1" applyBorder="1"/>
    <xf numFmtId="3" fontId="99" fillId="0" borderId="87" xfId="0" applyNumberFormat="1" applyFont="1" applyBorder="1"/>
    <xf numFmtId="3" fontId="95" fillId="70" borderId="84" xfId="0" applyNumberFormat="1" applyFont="1" applyFill="1" applyBorder="1"/>
    <xf numFmtId="178" fontId="98" fillId="70" borderId="88" xfId="33743" applyNumberFormat="1" applyFont="1" applyFill="1" applyBorder="1"/>
    <xf numFmtId="0" fontId="0" fillId="71" borderId="89" xfId="0" applyFont="1" applyFill="1" applyBorder="1" applyAlignment="1">
      <alignment horizontal="center"/>
    </xf>
    <xf numFmtId="3" fontId="0" fillId="71" borderId="90" xfId="0" applyNumberFormat="1" applyFont="1" applyFill="1" applyBorder="1"/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0" fontId="0" fillId="71" borderId="93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5" xfId="0" applyFont="1" applyFill="1" applyBorder="1"/>
    <xf numFmtId="3" fontId="0" fillId="68" borderId="85" xfId="0" applyNumberFormat="1" applyFont="1" applyFill="1" applyBorder="1" applyAlignment="1">
      <alignment vertical="center"/>
    </xf>
    <xf numFmtId="3" fontId="0" fillId="68" borderId="81" xfId="0" applyNumberFormat="1" applyFont="1" applyFill="1" applyBorder="1" applyAlignment="1">
      <alignment vertical="center"/>
    </xf>
    <xf numFmtId="3" fontId="95" fillId="70" borderId="97" xfId="0" applyNumberFormat="1" applyFont="1" applyFill="1" applyBorder="1" applyAlignment="1">
      <alignment horizontal="center" vertical="center"/>
    </xf>
    <xf numFmtId="178" fontId="98" fillId="70" borderId="9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0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1" xfId="0" applyNumberFormat="1" applyFill="1" applyBorder="1"/>
    <xf numFmtId="3" fontId="0" fillId="68" borderId="102" xfId="0" applyNumberFormat="1" applyFill="1" applyBorder="1"/>
    <xf numFmtId="3" fontId="0" fillId="68" borderId="104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5" xfId="0" applyFill="1" applyBorder="1" applyAlignment="1">
      <alignment horizontal="left" indent="1"/>
    </xf>
    <xf numFmtId="0" fontId="0" fillId="68" borderId="94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3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5" xfId="0" applyFill="1" applyBorder="1"/>
    <xf numFmtId="0" fontId="0" fillId="68" borderId="42" xfId="0" applyFill="1" applyBorder="1" applyAlignment="1">
      <alignment wrapText="1"/>
    </xf>
    <xf numFmtId="0" fontId="0" fillId="68" borderId="94" xfId="0" applyFill="1" applyBorder="1"/>
    <xf numFmtId="0" fontId="0" fillId="68" borderId="41" xfId="0" applyFill="1" applyBorder="1"/>
    <xf numFmtId="3" fontId="99" fillId="0" borderId="107" xfId="0" applyNumberFormat="1" applyFont="1" applyBorder="1"/>
    <xf numFmtId="3" fontId="99" fillId="0" borderId="108" xfId="0" applyNumberFormat="1" applyFont="1" applyBorder="1"/>
    <xf numFmtId="3" fontId="95" fillId="69" borderId="106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6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2" xfId="0" applyNumberForma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4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1" xfId="0" applyBorder="1" applyAlignment="1">
      <alignment horizontal="center" vertical="center"/>
    </xf>
    <xf numFmtId="0" fontId="0" fillId="68" borderId="112" xfId="0" applyFill="1" applyBorder="1" applyAlignment="1">
      <alignment wrapText="1"/>
    </xf>
    <xf numFmtId="9" fontId="96" fillId="68" borderId="115" xfId="33743" applyNumberFormat="1" applyFont="1" applyFill="1" applyBorder="1" applyAlignment="1">
      <alignment horizontal="center"/>
    </xf>
    <xf numFmtId="167" fontId="99" fillId="0" borderId="107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4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5" xfId="0" applyNumberFormat="1" applyFill="1" applyBorder="1" applyAlignment="1">
      <alignment vertical="center"/>
    </xf>
    <xf numFmtId="3" fontId="0" fillId="68" borderId="114" xfId="0" applyNumberFormat="1" applyFill="1" applyBorder="1"/>
    <xf numFmtId="3" fontId="0" fillId="68" borderId="116" xfId="0" applyNumberFormat="1" applyFill="1" applyBorder="1"/>
    <xf numFmtId="3" fontId="0" fillId="0" borderId="102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0" fontId="95" fillId="70" borderId="19" xfId="0" applyFont="1" applyFill="1" applyBorder="1" applyAlignment="1">
      <alignment horizontal="center" vertic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5" xfId="33743" applyNumberFormat="1" applyFont="1" applyFill="1" applyBorder="1"/>
    <xf numFmtId="3" fontId="93" fillId="68" borderId="81" xfId="33743" applyNumberFormat="1" applyFont="1" applyFill="1" applyBorder="1"/>
    <xf numFmtId="3" fontId="93" fillId="68" borderId="99" xfId="33743" applyNumberFormat="1" applyFont="1" applyFill="1" applyBorder="1"/>
    <xf numFmtId="3" fontId="95" fillId="69" borderId="84" xfId="0" applyNumberFormat="1" applyFont="1" applyFill="1" applyBorder="1"/>
    <xf numFmtId="0" fontId="92" fillId="69" borderId="117" xfId="0" applyFont="1" applyFill="1" applyBorder="1" applyAlignment="1">
      <alignment horizontal="center"/>
    </xf>
    <xf numFmtId="167" fontId="99" fillId="0" borderId="86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99" fillId="0" borderId="60" xfId="0" applyNumberFormat="1" applyFont="1" applyBorder="1"/>
    <xf numFmtId="3" fontId="0" fillId="68" borderId="60" xfId="0" applyNumberFormat="1" applyFill="1" applyBorder="1"/>
    <xf numFmtId="0" fontId="3" fillId="69" borderId="118" xfId="0" applyFont="1" applyFill="1" applyBorder="1" applyAlignment="1"/>
    <xf numFmtId="0" fontId="92" fillId="69" borderId="119" xfId="0" applyFont="1" applyFill="1" applyBorder="1" applyAlignment="1">
      <alignment horizontal="center"/>
    </xf>
    <xf numFmtId="3" fontId="0" fillId="68" borderId="66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99" fillId="0" borderId="85" xfId="0" applyNumberFormat="1" applyFont="1" applyBorder="1"/>
    <xf numFmtId="3" fontId="0" fillId="68" borderId="113" xfId="0" applyNumberFormat="1" applyFill="1" applyBorder="1"/>
    <xf numFmtId="3" fontId="99" fillId="0" borderId="28" xfId="0" applyNumberFormat="1" applyFont="1" applyBorder="1"/>
    <xf numFmtId="4" fontId="99" fillId="0" borderId="78" xfId="0" applyNumberFormat="1" applyFont="1" applyBorder="1"/>
    <xf numFmtId="4" fontId="99" fillId="0" borderId="107" xfId="0" applyNumberFormat="1" applyFont="1" applyBorder="1"/>
    <xf numFmtId="3" fontId="0" fillId="68" borderId="83" xfId="0" applyNumberFormat="1" applyFont="1" applyFill="1" applyBorder="1" applyAlignment="1">
      <alignment vertical="center"/>
    </xf>
    <xf numFmtId="3" fontId="0" fillId="68" borderId="63" xfId="0" applyNumberFormat="1" applyFont="1" applyFill="1" applyBorder="1" applyAlignment="1">
      <alignment vertical="center"/>
    </xf>
    <xf numFmtId="167" fontId="0" fillId="68" borderId="30" xfId="0" applyNumberFormat="1" applyFill="1" applyBorder="1"/>
    <xf numFmtId="167" fontId="0" fillId="68" borderId="35" xfId="0" applyNumberFormat="1" applyFill="1" applyBorder="1"/>
    <xf numFmtId="178" fontId="96" fillId="68" borderId="32" xfId="33743" applyNumberFormat="1" applyFont="1" applyFill="1" applyBorder="1" applyAlignment="1">
      <alignment horizontal="center"/>
    </xf>
    <xf numFmtId="178" fontId="96" fillId="68" borderId="34" xfId="33743" applyNumberFormat="1" applyFont="1" applyFill="1" applyBorder="1" applyAlignment="1">
      <alignment horizontal="center"/>
    </xf>
    <xf numFmtId="3" fontId="0" fillId="68" borderId="27" xfId="0" applyNumberFormat="1" applyFont="1" applyFill="1" applyBorder="1" applyAlignment="1">
      <alignment vertical="center"/>
    </xf>
    <xf numFmtId="178" fontId="96" fillId="68" borderId="25" xfId="33743" applyNumberFormat="1" applyFont="1" applyFill="1" applyBorder="1" applyAlignment="1">
      <alignment horizontal="center" vertical="center"/>
    </xf>
    <xf numFmtId="3" fontId="0" fillId="68" borderId="84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9" fontId="96" fillId="0" borderId="32" xfId="33743" applyNumberFormat="1" applyFont="1" applyBorder="1" applyAlignment="1">
      <alignment horizontal="center"/>
    </xf>
    <xf numFmtId="178" fontId="76" fillId="68" borderId="32" xfId="33743" applyNumberFormat="1" applyFont="1" applyFill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0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0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20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4" fillId="70" borderId="77" xfId="0" quotePrefix="1" applyNumberFormat="1" applyFont="1" applyFill="1" applyBorder="1" applyAlignment="1">
      <alignment horizontal="center"/>
    </xf>
    <xf numFmtId="0" fontId="94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20" fillId="69" borderId="46" xfId="0" applyFont="1" applyFill="1" applyBorder="1" applyAlignment="1">
      <alignment horizontal="center" vertical="center"/>
    </xf>
    <xf numFmtId="0" fontId="20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 baseline="0"/>
              <a:t>según fuente </a:t>
            </a:r>
            <a:endParaRPr lang="es-PE" sz="800" b="1"/>
          </a:p>
        </c:rich>
      </c:tx>
      <c:layout>
        <c:manualLayout>
          <c:xMode val="edge"/>
          <c:yMode val="edge"/>
          <c:x val="9.9302820079280152E-2"/>
          <c:y val="5.9577003276735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1956.4841180000008</c:v>
                </c:pt>
                <c:pt idx="1">
                  <c:v>2576.0290949801397</c:v>
                </c:pt>
                <c:pt idx="2">
                  <c:v>128.84733200000002</c:v>
                </c:pt>
                <c:pt idx="3">
                  <c:v>70.821844000000013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767898631066057E-3"/>
                  <c:y val="1.1915400655346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788-4BD7-AE42-E569E600AA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1958.5988525299258</c:v>
                </c:pt>
                <c:pt idx="1">
                  <c:v>2742.5518525358807</c:v>
                </c:pt>
                <c:pt idx="2">
                  <c:v>202.55721991499991</c:v>
                </c:pt>
                <c:pt idx="3">
                  <c:v>75.047078277500006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0129152"/>
        <c:axId val="240131072"/>
      </c:barChart>
      <c:catAx>
        <c:axId val="240129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131072"/>
        <c:crosses val="autoZero"/>
        <c:auto val="1"/>
        <c:lblAlgn val="ctr"/>
        <c:lblOffset val="100"/>
        <c:noMultiLvlLbl val="0"/>
      </c:catAx>
      <c:valAx>
        <c:axId val="24013107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129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1602.1805881908481</c:v>
                </c:pt>
                <c:pt idx="2" formatCode="_ * #,##0.00_ ;_ * \-#,##0.00_ ;_ * &quot;-&quot;??_ ;_ @_ ">
                  <c:v>6.4619999999999999E-3</c:v>
                </c:pt>
                <c:pt idx="3">
                  <c:v>2457.7728313950429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85.918016040000026</c:v>
                </c:pt>
                <c:pt idx="1">
                  <c:v>260.87438083177489</c:v>
                </c:pt>
                <c:pt idx="2">
                  <c:v>75.047078277500006</c:v>
                </c:pt>
                <c:pt idx="3">
                  <c:v>108.23839692104895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34.279500250000005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4059.9598815858908</c:v>
                </c:pt>
                <c:pt idx="1">
                  <c:v>530.07787207032391</c:v>
                </c:pt>
                <c:pt idx="2">
                  <c:v>354.43774935209257</c:v>
                </c:pt>
                <c:pt idx="3">
                  <c:v>34.279500250000005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51842944"/>
        <c:axId val="251851520"/>
      </c:barChart>
      <c:catAx>
        <c:axId val="25184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1851520"/>
        <c:crosses val="autoZero"/>
        <c:auto val="1"/>
        <c:lblAlgn val="ctr"/>
        <c:lblOffset val="100"/>
        <c:noMultiLvlLbl val="0"/>
      </c:catAx>
      <c:valAx>
        <c:axId val="251851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51842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PIURA</c:v>
                </c:pt>
                <c:pt idx="5">
                  <c:v>CUSCO</c:v>
                </c:pt>
                <c:pt idx="6">
                  <c:v>ICA</c:v>
                </c:pt>
                <c:pt idx="7">
                  <c:v>ANCASH</c:v>
                </c:pt>
                <c:pt idx="8">
                  <c:v>LA LIBERTAD</c:v>
                </c:pt>
                <c:pt idx="9">
                  <c:v>AREQUIPA</c:v>
                </c:pt>
                <c:pt idx="10">
                  <c:v>CAJAMARCA</c:v>
                </c:pt>
                <c:pt idx="11">
                  <c:v>PUNO</c:v>
                </c:pt>
                <c:pt idx="12">
                  <c:v>MOQUEGUA</c:v>
                </c:pt>
                <c:pt idx="13">
                  <c:v>HUANUCO</c:v>
                </c:pt>
                <c:pt idx="14">
                  <c:v>PASCO</c:v>
                </c:pt>
                <c:pt idx="15">
                  <c:v>UCAYALI</c:v>
                </c:pt>
                <c:pt idx="16">
                  <c:v>LORETO</c:v>
                </c:pt>
                <c:pt idx="17">
                  <c:v>TACNA</c:v>
                </c:pt>
                <c:pt idx="18">
                  <c:v>LAMBAYEQUE</c:v>
                </c:pt>
                <c:pt idx="19">
                  <c:v>AMAZONAS</c:v>
                </c:pt>
                <c:pt idx="20">
                  <c:v>APURIMAC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2536.7023597139514</c:v>
                </c:pt>
                <c:pt idx="1">
                  <c:v>706.21614696000017</c:v>
                </c:pt>
                <c:pt idx="2">
                  <c:v>350.52462428749982</c:v>
                </c:pt>
                <c:pt idx="3">
                  <c:v>183.2723207416268</c:v>
                </c:pt>
                <c:pt idx="4">
                  <c:v>152.76538227209483</c:v>
                </c:pt>
                <c:pt idx="5">
                  <c:v>141.46184936549838</c:v>
                </c:pt>
                <c:pt idx="6">
                  <c:v>126.47151768000003</c:v>
                </c:pt>
                <c:pt idx="7">
                  <c:v>119.56530178930983</c:v>
                </c:pt>
                <c:pt idx="8">
                  <c:v>119.49973595416439</c:v>
                </c:pt>
                <c:pt idx="9">
                  <c:v>98.675094223804365</c:v>
                </c:pt>
                <c:pt idx="10">
                  <c:v>68.945609895000004</c:v>
                </c:pt>
                <c:pt idx="11">
                  <c:v>67.520007712089594</c:v>
                </c:pt>
                <c:pt idx="12">
                  <c:v>65.023812337500033</c:v>
                </c:pt>
                <c:pt idx="13">
                  <c:v>61.097537147500027</c:v>
                </c:pt>
                <c:pt idx="14">
                  <c:v>54.068499726002209</c:v>
                </c:pt>
                <c:pt idx="15">
                  <c:v>48.513091220000014</c:v>
                </c:pt>
                <c:pt idx="16">
                  <c:v>34.279500250000005</c:v>
                </c:pt>
                <c:pt idx="17">
                  <c:v>26.526205439742146</c:v>
                </c:pt>
                <c:pt idx="18">
                  <c:v>5.1751238975000007</c:v>
                </c:pt>
                <c:pt idx="19">
                  <c:v>4.4941568333333324</c:v>
                </c:pt>
                <c:pt idx="20">
                  <c:v>3.2595103758987904</c:v>
                </c:pt>
                <c:pt idx="21">
                  <c:v>2.4571925000000001</c:v>
                </c:pt>
                <c:pt idx="22">
                  <c:v>1.1005480000000001</c:v>
                </c:pt>
                <c:pt idx="23">
                  <c:v>0.85778891666666668</c:v>
                </c:pt>
                <c:pt idx="24">
                  <c:v>0.28208601912387121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251991168"/>
        <c:axId val="251992704"/>
      </c:barChart>
      <c:catAx>
        <c:axId val="2519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51992704"/>
        <c:crosses val="autoZero"/>
        <c:auto val="1"/>
        <c:lblAlgn val="ctr"/>
        <c:lblOffset val="100"/>
        <c:noMultiLvlLbl val="0"/>
      </c:catAx>
      <c:valAx>
        <c:axId val="25199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2519911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151.93834598013925</c:v>
                </c:pt>
                <c:pt idx="1">
                  <c:v>143.62177879036301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4580.2440430000015</c:v>
                </c:pt>
                <c:pt idx="1">
                  <c:v>4835.1332244679443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0183168"/>
        <c:axId val="240184704"/>
        <c:axId val="240109312"/>
      </c:bar3DChart>
      <c:catAx>
        <c:axId val="24018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184704"/>
        <c:crosses val="autoZero"/>
        <c:auto val="1"/>
        <c:lblAlgn val="ctr"/>
        <c:lblOffset val="100"/>
        <c:noMultiLvlLbl val="0"/>
      </c:catAx>
      <c:valAx>
        <c:axId val="24018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183168"/>
        <c:crosses val="autoZero"/>
        <c:crossBetween val="between"/>
      </c:valAx>
      <c:serAx>
        <c:axId val="240109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018470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1836.3780886300008</c:v>
                </c:pt>
                <c:pt idx="1">
                  <c:v>1846.9269023749259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2535.5078279801396</c:v>
                </c:pt>
                <c:pt idx="1">
                  <c:v>2687.9717418064479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120.10602936999992</c:v>
                </c:pt>
                <c:pt idx="1">
                  <c:v>111.67195015499978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240.19044300000004</c:v>
                </c:pt>
                <c:pt idx="1">
                  <c:v>332.18440892193217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4983680"/>
        <c:axId val="244985216"/>
        <c:axId val="0"/>
      </c:bar3DChart>
      <c:catAx>
        <c:axId val="24498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4985216"/>
        <c:crosses val="autoZero"/>
        <c:auto val="1"/>
        <c:lblAlgn val="ctr"/>
        <c:lblOffset val="100"/>
        <c:noMultiLvlLbl val="0"/>
      </c:catAx>
      <c:valAx>
        <c:axId val="24498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49836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900"/>
              <a:t>Gráfico N°1: Producción de Energía Eléctrica Nacional </a:t>
            </a:r>
          </a:p>
          <a:p>
            <a:pPr>
              <a:defRPr sz="900"/>
            </a:pPr>
            <a:r>
              <a:rPr lang="en-US" sz="900"/>
              <a:t>Setiembre 2022 </a:t>
            </a:r>
          </a:p>
          <a:p>
            <a:pPr>
              <a:defRPr sz="900"/>
            </a:pPr>
            <a:r>
              <a:rPr lang="en-US" sz="900"/>
              <a:t>Total: 4 979 GWh</a:t>
            </a:r>
          </a:p>
        </c:rich>
      </c:tx>
      <c:layout>
        <c:manualLayout>
          <c:xMode val="edge"/>
          <c:yMode val="edge"/>
          <c:x val="0.15244643486503895"/>
          <c:y val="3.7789858630221773E-2"/>
        </c:manualLayout>
      </c:layout>
      <c:overlay val="0"/>
      <c:spPr>
        <a:noFill/>
      </c:sp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'Resumen (G)'!$Q$13:$Q$15</c:f>
              <c:strCache>
                <c:ptCount val="3"/>
                <c:pt idx="0">
                  <c:v>Mcdo. Elect.</c:v>
                </c:pt>
              </c:strCache>
            </c:strRef>
          </c:tx>
          <c:explosion val="12"/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9459-45F3-B6E1-FF010DFCCF1C}"/>
              </c:ext>
            </c:extLst>
          </c:dPt>
          <c:dPt>
            <c:idx val="3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59-45F3-B6E1-FF010DFCCF1C}"/>
              </c:ext>
            </c:extLst>
          </c:dPt>
          <c:dPt>
            <c:idx val="4"/>
            <c:bubble3D val="0"/>
            <c:spPr>
              <a:solidFill>
                <a:schemeClr val="accent6"/>
              </a:solidFill>
              <a:ln w="9525"/>
            </c:spPr>
            <c:extLst>
              <c:ext xmlns:c16="http://schemas.microsoft.com/office/drawing/2014/chart" uri="{C3380CC4-5D6E-409C-BE32-E72D297353CC}">
                <c16:uniqueId val="{00000005-9459-45F3-B6E1-FF010DFCCF1C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59-45F3-B6E1-FF010DFCCF1C}"/>
              </c:ext>
            </c:extLst>
          </c:dPt>
          <c:dLbls>
            <c:dLbl>
              <c:idx val="0"/>
              <c:layout>
                <c:manualLayout>
                  <c:x val="-8.9715374929484684E-3"/>
                  <c:y val="0.128299779401735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59-45F3-B6E1-FF010DFCCF1C}"/>
                </c:ext>
              </c:extLst>
            </c:dLbl>
            <c:dLbl>
              <c:idx val="1"/>
              <c:layout>
                <c:manualLayout>
                  <c:x val="1.6787618242250092E-2"/>
                  <c:y val="-0.155381804963710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459-45F3-B6E1-FF010DFCCF1C}"/>
                </c:ext>
              </c:extLst>
            </c:dLbl>
            <c:dLbl>
              <c:idx val="2"/>
              <c:layout>
                <c:manualLayout>
                  <c:x val="-2.2943955371932125E-3"/>
                  <c:y val="-4.01700613869547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59-45F3-B6E1-FF010DFCCF1C}"/>
                </c:ext>
              </c:extLst>
            </c:dLbl>
            <c:dLbl>
              <c:idx val="3"/>
              <c:layout>
                <c:manualLayout>
                  <c:x val="-6.2451209992193599E-3"/>
                  <c:y val="-4.728132387706855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59-45F3-B6E1-FF010DFCCF1C}"/>
                </c:ext>
              </c:extLst>
            </c:dLbl>
            <c:dLbl>
              <c:idx val="4"/>
              <c:layout>
                <c:manualLayout>
                  <c:x val="-9.3676814988290398E-3"/>
                  <c:y val="7.09219858156028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59-45F3-B6E1-FF010DFCCF1C}"/>
                </c:ext>
              </c:extLst>
            </c:dLbl>
            <c:dLbl>
              <c:idx val="5"/>
              <c:layout>
                <c:manualLayout>
                  <c:x val="-0.25775028458693372"/>
                  <c:y val="-9.6354882148870877E-2"/>
                </c:manualLayout>
              </c:layout>
              <c:tx>
                <c:rich>
                  <a:bodyPr/>
                  <a:lstStyle/>
                  <a:p>
                    <a:pPr>
                      <a:defRPr sz="800" b="1"/>
                    </a:pPr>
                    <a:r>
                      <a:rPr lang="en-US" sz="800" b="1"/>
                      <a:t>Mcdo. Elect.; </a:t>
                    </a:r>
                  </a:p>
                  <a:p>
                    <a:pPr>
                      <a:defRPr sz="800" b="1"/>
                    </a:pPr>
                    <a:r>
                      <a:rPr lang="en-US" sz="800" b="1"/>
                      <a:t>4 837; 97%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459-45F3-B6E1-FF010DFCCF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s-PE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46.31431838809312</c:v>
                </c:pt>
                <c:pt idx="1">
                  <c:v>98.417926574697859</c:v>
                </c:pt>
                <c:pt idx="2">
                  <c:v>1912.2845341418326</c:v>
                </c:pt>
                <c:pt idx="3">
                  <c:v>2644.1339259611827</c:v>
                </c:pt>
                <c:pt idx="4">
                  <c:v>277.60429819249993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459-45F3-B6E1-FF010DFCCF1C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gap"/>
    <c:showDLblsOverMax val="0"/>
  </c:chart>
  <c:spPr>
    <a:solidFill>
      <a:schemeClr val="bg1"/>
    </a:solidFill>
    <a:ln>
      <a:gradFill>
        <a:gsLst>
          <a:gs pos="0">
            <a:schemeClr val="bg1">
              <a:lumMod val="75000"/>
            </a:schemeClr>
          </a:gs>
          <a:gs pos="12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0"/>
                  <c:y val="-2.0034010493404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35-4112-AD0F-45AA74253D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1958.5988525299258</c:v>
                </c:pt>
                <c:pt idx="1">
                  <c:v>2596.0429772620464</c:v>
                </c:pt>
                <c:pt idx="2">
                  <c:v>90.058823939484682</c:v>
                </c:pt>
                <c:pt idx="3">
                  <c:v>54.580110729432249</c:v>
                </c:pt>
                <c:pt idx="4">
                  <c:v>202.55721991499991</c:v>
                </c:pt>
                <c:pt idx="5">
                  <c:v>75.047078277500006</c:v>
                </c:pt>
                <c:pt idx="6">
                  <c:v>1.8699406049192593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45066368"/>
        <c:axId val="245097984"/>
      </c:barChart>
      <c:catAx>
        <c:axId val="24506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5097984"/>
        <c:crosses val="autoZero"/>
        <c:auto val="1"/>
        <c:lblAlgn val="ctr"/>
        <c:lblOffset val="100"/>
        <c:noMultiLvlLbl val="0"/>
      </c:catAx>
      <c:valAx>
        <c:axId val="24509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506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4491.9919459801404</c:v>
                </c:pt>
                <c:pt idx="1">
                  <c:v>4646.5705943363755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4669807781500697E-2"/>
                  <c:y val="1.848085011101189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2021</c:v>
                </c:pt>
                <c:pt idx="1">
                  <c:v>2022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240.19044300000002</c:v>
                </c:pt>
                <c:pt idx="1">
                  <c:v>332.18440892193217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246670080"/>
        <c:axId val="24667161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3153148244393401E-2"/>
                  <c:y val="5.5452976910547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31-4D36-826D-DF2586D4A949}"/>
                </c:ext>
              </c:extLst>
            </c:dLbl>
            <c:dLbl>
              <c:idx val="1"/>
              <c:layout>
                <c:manualLayout>
                  <c:x val="-4.1335202664565418E-2"/>
                  <c:y val="-5.7196889135137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5.0756801673437782E-2</c:v>
                </c:pt>
                <c:pt idx="1">
                  <c:v>6.6720376621170682E-2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387456"/>
        <c:axId val="248385920"/>
      </c:lineChart>
      <c:catAx>
        <c:axId val="24667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6671616"/>
        <c:crosses val="autoZero"/>
        <c:auto val="1"/>
        <c:lblAlgn val="ctr"/>
        <c:lblOffset val="100"/>
        <c:noMultiLvlLbl val="1"/>
      </c:catAx>
      <c:valAx>
        <c:axId val="246671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6670080"/>
        <c:crosses val="autoZero"/>
        <c:crossBetween val="between"/>
        <c:majorUnit val="1000"/>
      </c:valAx>
      <c:valAx>
        <c:axId val="248385920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48387456"/>
        <c:crosses val="max"/>
        <c:crossBetween val="between"/>
      </c:valAx>
      <c:catAx>
        <c:axId val="248387456"/>
        <c:scaling>
          <c:orientation val="minMax"/>
        </c:scaling>
        <c:delete val="1"/>
        <c:axPos val="b"/>
        <c:majorTickMark val="out"/>
        <c:minorTickMark val="none"/>
        <c:tickLblPos val="nextTo"/>
        <c:crossAx val="2483859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4.5219125990374726E-2"/>
                  <c:y val="-0.10740094435375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2.0400770227834382E-2"/>
                  <c:y val="0.323573055257170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2438337467573948"/>
                  <c:y val="-0.1746873221168646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 i="0" u="none" strike="noStrike" baseline="0">
                        <a:effectLst/>
                      </a:rPr>
                      <a:t>RER No Convencional</a:t>
                    </a:r>
                    <a:r>
                      <a:rPr lang="en-US" sz="700" b="1"/>
                      <a:t>
5%</a:t>
                    </a:r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1956.4841180000008</c:v>
                </c:pt>
                <c:pt idx="1">
                  <c:v>2456.2050719999997</c:v>
                </c:pt>
                <c:pt idx="2">
                  <c:v>78.24615598013952</c:v>
                </c:pt>
                <c:pt idx="3" formatCode="#,##0.00">
                  <c:v>1.0566</c:v>
                </c:pt>
                <c:pt idx="4">
                  <c:v>40.521266999999995</c:v>
                </c:pt>
                <c:pt idx="5">
                  <c:v>128.84733200000002</c:v>
                </c:pt>
                <c:pt idx="6">
                  <c:v>70.821844000000013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2022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3.3952764182478223E-2"/>
                  <c:y val="-0.10838367701663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4.7784451713007749E-2"/>
                  <c:y val="0.302348884368471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8.5977877041062648E-2"/>
                  <c:y val="-7.1832935166740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 Convencional
5%</a:t>
                    </a:r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1958.5988525299258</c:v>
                </c:pt>
                <c:pt idx="1">
                  <c:v>2596.0429772620464</c:v>
                </c:pt>
                <c:pt idx="2">
                  <c:v>90.058823939484682</c:v>
                </c:pt>
                <c:pt idx="3" formatCode="#,##0.00">
                  <c:v>1.8699406049192593</c:v>
                </c:pt>
                <c:pt idx="4">
                  <c:v>54.580110729432249</c:v>
                </c:pt>
                <c:pt idx="5">
                  <c:v>202.55721991499991</c:v>
                </c:pt>
                <c:pt idx="6">
                  <c:v>75.047078277500006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116.63920387499988</c:v>
                </c:pt>
                <c:pt idx="1">
                  <c:v>95.543883507302994</c:v>
                </c:pt>
                <c:pt idx="2">
                  <c:v>0</c:v>
                </c:pt>
                <c:pt idx="3">
                  <c:v>142.25466196978971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409575</xdr:colOff>
      <xdr:row>5</xdr:row>
      <xdr:rowOff>9525</xdr:rowOff>
    </xdr:from>
    <xdr:to>
      <xdr:col>14</xdr:col>
      <xdr:colOff>66674</xdr:colOff>
      <xdr:row>18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76200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78731" y="771525"/>
          <a:ext cx="6294862" cy="3746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setiembre 2022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2022 vs 2021</a:t>
          </a:r>
          <a:endParaRPr lang="es-PE" sz="900" b="1"/>
        </a:p>
      </xdr:txBody>
    </xdr:sp>
    <xdr:clientData/>
  </xdr:twoCellAnchor>
  <xdr:twoCellAnchor>
    <xdr:from>
      <xdr:col>2</xdr:col>
      <xdr:colOff>214594</xdr:colOff>
      <xdr:row>5</xdr:row>
      <xdr:rowOff>115514</xdr:rowOff>
    </xdr:from>
    <xdr:to>
      <xdr:col>10</xdr:col>
      <xdr:colOff>200026</xdr:colOff>
      <xdr:row>19</xdr:row>
      <xdr:rowOff>91151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956909" y="964827"/>
          <a:ext cx="6880897" cy="2495634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63576" y="3265261"/>
          <a:ext cx="4126659" cy="5698791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view="pageBreakPreview" topLeftCell="A4" zoomScale="110" zoomScaleNormal="100" zoomScaleSheetLayoutView="110" workbookViewId="0">
      <selection activeCell="C1" sqref="C1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126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27"/>
      <c r="D8" s="127"/>
      <c r="E8" s="127"/>
      <c r="F8" s="127"/>
      <c r="G8" s="127"/>
      <c r="H8" s="9"/>
      <c r="I8" s="9"/>
      <c r="J8" s="9"/>
      <c r="K8" s="9"/>
    </row>
    <row r="9" spans="2:19" s="1" customFormat="1" ht="26.4">
      <c r="B9" s="8"/>
      <c r="C9" s="177" t="s">
        <v>62</v>
      </c>
      <c r="D9" s="178" t="s">
        <v>69</v>
      </c>
      <c r="E9" s="179" t="s">
        <v>70</v>
      </c>
      <c r="F9" s="180" t="s">
        <v>71</v>
      </c>
      <c r="G9" s="181" t="s">
        <v>72</v>
      </c>
      <c r="H9" s="9"/>
      <c r="I9" s="9"/>
      <c r="J9" s="9"/>
      <c r="K9" s="9"/>
    </row>
    <row r="10" spans="2:19" s="1" customFormat="1" ht="13.8" thickBot="1">
      <c r="B10" s="8"/>
      <c r="C10" s="182" t="s">
        <v>63</v>
      </c>
      <c r="D10" s="183"/>
      <c r="E10" s="184"/>
      <c r="F10" s="185"/>
      <c r="G10" s="186"/>
      <c r="H10" s="9"/>
      <c r="I10" s="9"/>
      <c r="J10" s="9"/>
      <c r="K10" s="9"/>
    </row>
    <row r="11" spans="2:19" s="1" customFormat="1" ht="13.8" thickTop="1">
      <c r="B11" s="8"/>
      <c r="C11" s="128"/>
      <c r="D11" s="129"/>
      <c r="E11" s="130"/>
      <c r="F11" s="131"/>
      <c r="G11" s="132"/>
      <c r="H11" s="9"/>
      <c r="I11" s="9"/>
      <c r="J11" s="9"/>
      <c r="K11" s="9"/>
      <c r="Q11" s="374" t="s">
        <v>64</v>
      </c>
      <c r="R11" s="142" t="s">
        <v>41</v>
      </c>
      <c r="S11" s="143">
        <f>E12</f>
        <v>46.31431838809312</v>
      </c>
    </row>
    <row r="12" spans="2:19" s="1" customFormat="1">
      <c r="B12" s="8"/>
      <c r="C12" s="133" t="s">
        <v>66</v>
      </c>
      <c r="D12" s="134">
        <v>1912.2845341418326</v>
      </c>
      <c r="E12" s="135">
        <v>46.31431838809312</v>
      </c>
      <c r="F12" s="136">
        <f>SUM(D12:E12)</f>
        <v>1958.5988525299258</v>
      </c>
      <c r="G12" s="326">
        <f>(F12/F$16)</f>
        <v>0.39339128984015809</v>
      </c>
      <c r="H12" s="9"/>
      <c r="I12" s="9"/>
      <c r="J12" s="9"/>
      <c r="K12" s="9"/>
      <c r="Q12" s="374"/>
      <c r="R12" s="142" t="s">
        <v>73</v>
      </c>
      <c r="S12" s="143">
        <f>E13</f>
        <v>98.417926574697859</v>
      </c>
    </row>
    <row r="13" spans="2:19" s="1" customFormat="1">
      <c r="B13" s="8"/>
      <c r="C13" s="133" t="s">
        <v>65</v>
      </c>
      <c r="D13" s="134">
        <v>2644.1339259611827</v>
      </c>
      <c r="E13" s="135">
        <v>98.417926574697859</v>
      </c>
      <c r="F13" s="136">
        <f>SUM(D13:E13)</f>
        <v>2742.5518525358807</v>
      </c>
      <c r="G13" s="326">
        <f>(F13/F$16)</f>
        <v>0.55085093577431299</v>
      </c>
      <c r="H13" s="9"/>
      <c r="I13" s="9"/>
      <c r="J13" s="9"/>
      <c r="K13" s="9"/>
      <c r="Q13" s="374" t="s">
        <v>88</v>
      </c>
      <c r="R13" s="142" t="s">
        <v>41</v>
      </c>
      <c r="S13" s="143">
        <f>D12</f>
        <v>1912.2845341418326</v>
      </c>
    </row>
    <row r="14" spans="2:19" s="1" customFormat="1">
      <c r="B14" s="8"/>
      <c r="C14" s="133" t="s">
        <v>67</v>
      </c>
      <c r="D14" s="134">
        <v>202.55721991499991</v>
      </c>
      <c r="E14" s="137"/>
      <c r="F14" s="136">
        <f>SUM(D14:E14)</f>
        <v>202.55721991499991</v>
      </c>
      <c r="G14" s="326">
        <f>(F14/F$16)</f>
        <v>4.0684311596460951E-2</v>
      </c>
      <c r="H14" s="9"/>
      <c r="I14" s="9"/>
      <c r="J14" s="9"/>
      <c r="K14" s="9"/>
      <c r="Q14" s="374"/>
      <c r="R14" s="142" t="s">
        <v>73</v>
      </c>
      <c r="S14" s="143">
        <f>D13</f>
        <v>2644.1339259611827</v>
      </c>
    </row>
    <row r="15" spans="2:19" s="1" customFormat="1" ht="13.8" thickBot="1">
      <c r="B15" s="8"/>
      <c r="C15" s="138" t="s">
        <v>5</v>
      </c>
      <c r="D15" s="139">
        <v>75.047078277500006</v>
      </c>
      <c r="E15" s="140"/>
      <c r="F15" s="141">
        <f>SUM(D15:E15)</f>
        <v>75.047078277500006</v>
      </c>
      <c r="G15" s="327">
        <f>(F15/F$16)</f>
        <v>1.5073462789067958E-2</v>
      </c>
      <c r="H15" s="9"/>
      <c r="I15" s="9"/>
      <c r="J15" s="9"/>
      <c r="K15" s="9"/>
      <c r="Q15" s="374"/>
      <c r="R15" s="142" t="s">
        <v>87</v>
      </c>
      <c r="S15" s="143">
        <f>SUM(D14:D15)</f>
        <v>277.60429819249993</v>
      </c>
    </row>
    <row r="16" spans="2:19" s="1" customFormat="1" ht="13.8" thickTop="1">
      <c r="B16" s="8"/>
      <c r="C16" s="241" t="s">
        <v>71</v>
      </c>
      <c r="D16" s="242">
        <f>SUM(D12:D15)</f>
        <v>4834.0227582955158</v>
      </c>
      <c r="E16" s="243">
        <f>SUM(E12:E15)</f>
        <v>144.73224496279099</v>
      </c>
      <c r="F16" s="244">
        <f>SUM(F12:F15)</f>
        <v>4978.7550032583067</v>
      </c>
      <c r="G16" s="245"/>
      <c r="H16" s="9"/>
      <c r="I16" s="9"/>
      <c r="J16" s="9"/>
      <c r="K16" s="9"/>
    </row>
    <row r="17" spans="2:19" s="1" customFormat="1">
      <c r="B17" s="8"/>
      <c r="C17" s="246" t="s">
        <v>109</v>
      </c>
      <c r="D17" s="308">
        <f>D16/F16</f>
        <v>0.97093003273547862</v>
      </c>
      <c r="E17" s="309">
        <f>E16/F16</f>
        <v>2.9069967264521376E-2</v>
      </c>
      <c r="F17" s="247"/>
      <c r="G17" s="248"/>
      <c r="H17" s="9"/>
      <c r="I17" s="9"/>
      <c r="J17" s="9"/>
      <c r="K17" s="9"/>
    </row>
    <row r="18" spans="2:19" s="1" customFormat="1">
      <c r="B18" s="8"/>
      <c r="C18" s="128"/>
      <c r="D18" s="128"/>
      <c r="E18" s="128"/>
      <c r="F18" s="128"/>
      <c r="G18" s="128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28"/>
      <c r="D22" s="128"/>
      <c r="E22" s="128"/>
      <c r="F22" s="128"/>
      <c r="G22" s="128"/>
      <c r="H22" s="127"/>
      <c r="I22" s="127"/>
      <c r="J22" s="127"/>
      <c r="K22" s="9"/>
    </row>
    <row r="23" spans="2:19" s="1" customFormat="1" ht="12.75" customHeight="1">
      <c r="B23" s="8"/>
      <c r="C23" s="381" t="s">
        <v>112</v>
      </c>
      <c r="D23" s="382"/>
      <c r="E23" s="375" t="s">
        <v>127</v>
      </c>
      <c r="F23" s="376"/>
      <c r="G23" s="147" t="s">
        <v>74</v>
      </c>
      <c r="H23" s="379" t="s">
        <v>128</v>
      </c>
      <c r="I23" s="380"/>
      <c r="J23" s="147" t="s">
        <v>74</v>
      </c>
      <c r="K23" s="9"/>
      <c r="Q23" s="142"/>
      <c r="R23" s="142">
        <v>2021</v>
      </c>
      <c r="S23" s="142">
        <v>2022</v>
      </c>
    </row>
    <row r="24" spans="2:19" s="1" customFormat="1" ht="12.75" customHeight="1">
      <c r="B24" s="8"/>
      <c r="C24" s="148"/>
      <c r="D24" s="149"/>
      <c r="E24" s="150">
        <v>2021</v>
      </c>
      <c r="F24" s="151">
        <v>2022</v>
      </c>
      <c r="G24" s="152"/>
      <c r="H24" s="231">
        <v>2021</v>
      </c>
      <c r="I24" s="151">
        <v>2022</v>
      </c>
      <c r="J24" s="152"/>
      <c r="K24" s="9"/>
      <c r="Q24" s="142" t="s">
        <v>76</v>
      </c>
      <c r="R24" s="143">
        <f>E29</f>
        <v>151.93834598013925</v>
      </c>
      <c r="S24" s="143">
        <f>F29</f>
        <v>143.62177879036301</v>
      </c>
    </row>
    <row r="25" spans="2:19" s="1" customFormat="1">
      <c r="B25" s="8"/>
      <c r="C25" s="370" t="s">
        <v>0</v>
      </c>
      <c r="D25" s="371"/>
      <c r="E25" s="187">
        <f>SUM(E26:E28)</f>
        <v>4580.2440430000015</v>
      </c>
      <c r="F25" s="188">
        <f>SUM(F26:F28)</f>
        <v>4835.1332244679443</v>
      </c>
      <c r="G25" s="189">
        <f>((F25/E25)-1)</f>
        <v>5.5649694443135722E-2</v>
      </c>
      <c r="H25" s="232">
        <f>SUM(H26:H28)</f>
        <v>41334.652057999992</v>
      </c>
      <c r="I25" s="188">
        <f>SUM(I26:I28)</f>
        <v>42794.785699976237</v>
      </c>
      <c r="J25" s="189">
        <f>((I25/H25)-1)</f>
        <v>3.5324686897749036E-2</v>
      </c>
      <c r="K25" s="9"/>
      <c r="Q25" s="142" t="s">
        <v>0</v>
      </c>
      <c r="R25" s="143">
        <f>E25</f>
        <v>4580.2440430000015</v>
      </c>
      <c r="S25" s="143">
        <f>F25</f>
        <v>4835.1332244679443</v>
      </c>
    </row>
    <row r="26" spans="2:19" s="1" customFormat="1">
      <c r="B26" s="8"/>
      <c r="C26" s="261" t="s">
        <v>62</v>
      </c>
      <c r="D26" s="270" t="s">
        <v>102</v>
      </c>
      <c r="E26" s="154">
        <v>4468.4049710000018</v>
      </c>
      <c r="F26" s="155">
        <v>4686.5850641675024</v>
      </c>
      <c r="G26" s="273">
        <f t="shared" ref="G26:G32" si="0">((F26/E26)-1)</f>
        <v>4.8827287272190434E-2</v>
      </c>
      <c r="H26" s="233">
        <v>40179.077188999996</v>
      </c>
      <c r="I26" s="155">
        <v>41391.911691142501</v>
      </c>
      <c r="J26" s="156">
        <f t="shared" ref="J26:J32" si="1">((I26/H26)-1)</f>
        <v>3.0185723192133196E-2</v>
      </c>
      <c r="K26" s="9"/>
    </row>
    <row r="27" spans="2:19" s="1" customFormat="1">
      <c r="B27" s="8"/>
      <c r="C27" s="262" t="s">
        <v>106</v>
      </c>
      <c r="D27" s="271" t="s">
        <v>77</v>
      </c>
      <c r="E27" s="264">
        <v>78.180134999999979</v>
      </c>
      <c r="F27" s="265">
        <v>105.41795130152946</v>
      </c>
      <c r="G27" s="274">
        <f t="shared" si="0"/>
        <v>0.34839817431281594</v>
      </c>
      <c r="H27" s="266">
        <v>782.09142300000008</v>
      </c>
      <c r="I27" s="265">
        <v>1001.4410210915296</v>
      </c>
      <c r="J27" s="274">
        <f t="shared" si="1"/>
        <v>0.28046541828848248</v>
      </c>
      <c r="K27" s="9"/>
    </row>
    <row r="28" spans="2:19" s="1" customFormat="1">
      <c r="B28" s="8"/>
      <c r="C28" s="263" t="s">
        <v>64</v>
      </c>
      <c r="D28" s="272" t="s">
        <v>77</v>
      </c>
      <c r="E28" s="154">
        <v>33.658937000000009</v>
      </c>
      <c r="F28" s="155">
        <v>43.130208998911726</v>
      </c>
      <c r="G28" s="273">
        <f t="shared" si="0"/>
        <v>0.28138951622006703</v>
      </c>
      <c r="H28" s="233">
        <v>373.48344600000001</v>
      </c>
      <c r="I28" s="155">
        <v>401.43298774220801</v>
      </c>
      <c r="J28" s="273">
        <f t="shared" si="1"/>
        <v>7.4834753833260992E-2</v>
      </c>
      <c r="K28" s="9"/>
    </row>
    <row r="29" spans="2:19" s="1" customFormat="1">
      <c r="B29" s="8"/>
      <c r="C29" s="370" t="s">
        <v>76</v>
      </c>
      <c r="D29" s="371"/>
      <c r="E29" s="187">
        <f>SUM(E30:E31)</f>
        <v>151.93834598013925</v>
      </c>
      <c r="F29" s="188">
        <f>SUM(F30:F31)</f>
        <v>143.62177879036301</v>
      </c>
      <c r="G29" s="189">
        <f t="shared" si="0"/>
        <v>-5.4736459951086669E-2</v>
      </c>
      <c r="H29" s="232">
        <f>SUM(H30:H31)</f>
        <v>1361.4867998212533</v>
      </c>
      <c r="I29" s="188">
        <f>SUM(I30:I31)</f>
        <v>1376.1253271247319</v>
      </c>
      <c r="J29" s="189">
        <f t="shared" si="1"/>
        <v>1.0751868696340372E-2</v>
      </c>
      <c r="K29" s="9"/>
      <c r="Q29" s="142"/>
      <c r="R29" s="142"/>
      <c r="S29" s="142"/>
    </row>
    <row r="30" spans="2:19" s="1" customFormat="1">
      <c r="B30" s="8"/>
      <c r="C30" s="267" t="s">
        <v>68</v>
      </c>
      <c r="D30" s="149"/>
      <c r="E30" s="355">
        <v>42.096871</v>
      </c>
      <c r="F30" s="356">
        <v>42.019742826483764</v>
      </c>
      <c r="G30" s="357">
        <f t="shared" si="0"/>
        <v>-1.8321592955503618E-3</v>
      </c>
      <c r="H30" s="233">
        <v>356.94173299999994</v>
      </c>
      <c r="I30" s="155">
        <v>368.99610149132673</v>
      </c>
      <c r="J30" s="273">
        <f t="shared" si="1"/>
        <v>3.3771249974086981E-2</v>
      </c>
      <c r="K30" s="9"/>
    </row>
    <row r="31" spans="2:19" s="1" customFormat="1" ht="13.8" thickBot="1">
      <c r="B31" s="8"/>
      <c r="C31" s="268" t="s">
        <v>64</v>
      </c>
      <c r="D31" s="269"/>
      <c r="E31" s="158">
        <v>109.84147498013925</v>
      </c>
      <c r="F31" s="159">
        <v>101.60203596387926</v>
      </c>
      <c r="G31" s="292">
        <f t="shared" si="0"/>
        <v>-7.5012093726434248E-2</v>
      </c>
      <c r="H31" s="234">
        <v>1004.5450668212533</v>
      </c>
      <c r="I31" s="159">
        <v>1007.1292256334053</v>
      </c>
      <c r="J31" s="358">
        <f t="shared" si="1"/>
        <v>2.5724667787472288E-3</v>
      </c>
      <c r="K31" s="9"/>
    </row>
    <row r="32" spans="2:19" s="1" customFormat="1" ht="14.4" thickTop="1" thickBot="1">
      <c r="B32" s="8"/>
      <c r="C32" s="365" t="s">
        <v>108</v>
      </c>
      <c r="D32" s="366"/>
      <c r="E32" s="190">
        <f>SUM(E25,E29)</f>
        <v>4732.1823889801408</v>
      </c>
      <c r="F32" s="191">
        <f>SUM(F25,F29)</f>
        <v>4978.7550032583076</v>
      </c>
      <c r="G32" s="192">
        <f t="shared" si="0"/>
        <v>5.210547565798862E-2</v>
      </c>
      <c r="H32" s="235">
        <f>SUM(H25,H29)</f>
        <v>42696.138857821243</v>
      </c>
      <c r="I32" s="191">
        <f>SUM(I25,I29)</f>
        <v>44170.91102710097</v>
      </c>
      <c r="J32" s="192">
        <f t="shared" si="1"/>
        <v>3.4541113288738767E-2</v>
      </c>
      <c r="K32" s="9"/>
    </row>
    <row r="33" spans="2:19" s="1" customFormat="1">
      <c r="B33" s="8"/>
      <c r="C33" s="303" t="s">
        <v>103</v>
      </c>
      <c r="D33" s="161"/>
      <c r="E33" s="161"/>
      <c r="F33" s="162"/>
      <c r="G33" s="127"/>
      <c r="H33" s="161"/>
      <c r="I33" s="161"/>
      <c r="J33" s="127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120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5"/>
      <c r="D38" s="146"/>
      <c r="E38" s="375" t="s">
        <v>127</v>
      </c>
      <c r="F38" s="376"/>
      <c r="G38" s="377" t="s">
        <v>74</v>
      </c>
      <c r="H38" s="379" t="s">
        <v>128</v>
      </c>
      <c r="I38" s="380"/>
      <c r="J38" s="377" t="s">
        <v>74</v>
      </c>
      <c r="K38" s="9"/>
      <c r="Q38" s="142"/>
      <c r="R38" s="142">
        <v>2021</v>
      </c>
      <c r="S38" s="142">
        <v>2022</v>
      </c>
    </row>
    <row r="39" spans="2:19" s="1" customFormat="1" ht="12.75" customHeight="1">
      <c r="B39" s="8"/>
      <c r="C39" s="148" t="s">
        <v>75</v>
      </c>
      <c r="D39" s="149"/>
      <c r="E39" s="150">
        <v>2021</v>
      </c>
      <c r="F39" s="151">
        <v>2022</v>
      </c>
      <c r="G39" s="378"/>
      <c r="H39" s="231">
        <v>2021</v>
      </c>
      <c r="I39" s="151">
        <v>2022</v>
      </c>
      <c r="J39" s="378"/>
      <c r="K39" s="9"/>
      <c r="Q39" s="142" t="s">
        <v>66</v>
      </c>
      <c r="R39" s="143">
        <f>SUM(E41,E46)</f>
        <v>1956.4841180000008</v>
      </c>
      <c r="S39" s="143">
        <f>SUM(F41,F46)</f>
        <v>1958.5988525299258</v>
      </c>
    </row>
    <row r="40" spans="2:19" s="1" customFormat="1">
      <c r="B40" s="8"/>
      <c r="C40" s="370" t="s">
        <v>68</v>
      </c>
      <c r="D40" s="371"/>
      <c r="E40" s="187">
        <f>SUM(E41:E44)</f>
        <v>4588.6819770000011</v>
      </c>
      <c r="F40" s="188">
        <f>SUM(F41:F44)</f>
        <v>4834.0227582955158</v>
      </c>
      <c r="G40" s="189">
        <f>((F40/E40)-1)</f>
        <v>5.3466503567962231E-2</v>
      </c>
      <c r="H40" s="232">
        <f>SUM(H41:H44)</f>
        <v>41318.110344999994</v>
      </c>
      <c r="I40" s="188">
        <f>SUM(I41:I44)</f>
        <v>42762.348813725366</v>
      </c>
      <c r="J40" s="189">
        <f>((I40/H40)-1)</f>
        <v>3.4954126814275899E-2</v>
      </c>
      <c r="K40" s="9"/>
      <c r="Q40" s="142" t="s">
        <v>65</v>
      </c>
      <c r="R40" s="143">
        <f>SUM(E42,E47)</f>
        <v>2576.0290949801397</v>
      </c>
      <c r="S40" s="143">
        <f>SUM(F42,F47)</f>
        <v>2742.5518525358807</v>
      </c>
    </row>
    <row r="41" spans="2:19" s="1" customFormat="1">
      <c r="B41" s="8"/>
      <c r="C41" s="153" t="s">
        <v>66</v>
      </c>
      <c r="D41" s="128"/>
      <c r="E41" s="154">
        <v>1911.9710020000007</v>
      </c>
      <c r="F41" s="155">
        <f>D12</f>
        <v>1912.2845341418326</v>
      </c>
      <c r="G41" s="273">
        <f t="shared" ref="G41:G48" si="2">((F41/E41)-1)</f>
        <v>1.6398373275738898E-4</v>
      </c>
      <c r="H41" s="233">
        <v>23548.921126999998</v>
      </c>
      <c r="I41" s="155">
        <v>23230.084483714174</v>
      </c>
      <c r="J41" s="273">
        <f t="shared" ref="J41:J48" si="3">((I41/H41)-1)</f>
        <v>-1.3539331231623208E-2</v>
      </c>
      <c r="K41" s="9"/>
      <c r="Q41" s="142" t="s">
        <v>67</v>
      </c>
      <c r="R41" s="143">
        <f>E43</f>
        <v>128.84733200000002</v>
      </c>
      <c r="S41" s="143">
        <f>F43</f>
        <v>202.55721991499991</v>
      </c>
    </row>
    <row r="42" spans="2:19" s="1" customFormat="1">
      <c r="B42" s="8"/>
      <c r="C42" s="153" t="s">
        <v>65</v>
      </c>
      <c r="D42" s="128"/>
      <c r="E42" s="154">
        <v>2477.0417990000005</v>
      </c>
      <c r="F42" s="155">
        <f>D13</f>
        <v>2644.1339259611827</v>
      </c>
      <c r="G42" s="273">
        <f t="shared" si="2"/>
        <v>6.7456321095848537E-2</v>
      </c>
      <c r="H42" s="233">
        <v>15854.595612999998</v>
      </c>
      <c r="I42" s="155">
        <v>17475.828964736185</v>
      </c>
      <c r="J42" s="273">
        <f t="shared" si="3"/>
        <v>0.10225636725839005</v>
      </c>
      <c r="K42" s="9"/>
      <c r="Q42" s="142" t="s">
        <v>5</v>
      </c>
      <c r="R42" s="143">
        <f>E44</f>
        <v>70.821844000000013</v>
      </c>
      <c r="S42" s="143">
        <f>F44</f>
        <v>75.047078277500006</v>
      </c>
    </row>
    <row r="43" spans="2:19" s="1" customFormat="1">
      <c r="B43" s="8"/>
      <c r="C43" s="153" t="s">
        <v>67</v>
      </c>
      <c r="D43" s="128"/>
      <c r="E43" s="154">
        <v>128.84733200000002</v>
      </c>
      <c r="F43" s="155">
        <f>D14</f>
        <v>202.55721991499991</v>
      </c>
      <c r="G43" s="273">
        <f t="shared" si="2"/>
        <v>0.57207151107327436</v>
      </c>
      <c r="H43" s="233">
        <v>1343.7741849999998</v>
      </c>
      <c r="I43" s="155">
        <v>1475.0170423575003</v>
      </c>
      <c r="J43" s="273">
        <f t="shared" si="3"/>
        <v>9.7667345319258692E-2</v>
      </c>
      <c r="K43" s="9"/>
    </row>
    <row r="44" spans="2:19" s="1" customFormat="1">
      <c r="B44" s="8"/>
      <c r="C44" s="153" t="s">
        <v>5</v>
      </c>
      <c r="D44" s="128"/>
      <c r="E44" s="154">
        <v>70.821844000000013</v>
      </c>
      <c r="F44" s="155">
        <f>D15</f>
        <v>75.047078277500006</v>
      </c>
      <c r="G44" s="363">
        <f t="shared" si="2"/>
        <v>5.9660043269983198E-2</v>
      </c>
      <c r="H44" s="233">
        <v>570.81942000000004</v>
      </c>
      <c r="I44" s="155">
        <v>581.41832291750006</v>
      </c>
      <c r="J44" s="156">
        <f t="shared" si="3"/>
        <v>1.8567873737547425E-2</v>
      </c>
      <c r="K44" s="9"/>
      <c r="Q44" s="142"/>
      <c r="R44" s="142"/>
      <c r="S44" s="142"/>
    </row>
    <row r="45" spans="2:19" s="1" customFormat="1">
      <c r="B45" s="8"/>
      <c r="C45" s="370" t="s">
        <v>64</v>
      </c>
      <c r="D45" s="371"/>
      <c r="E45" s="187">
        <f>SUM(E46:E47)</f>
        <v>143.50041198013923</v>
      </c>
      <c r="F45" s="188">
        <f>SUM(F46:F47)</f>
        <v>144.73224496279099</v>
      </c>
      <c r="G45" s="189">
        <f t="shared" si="2"/>
        <v>8.5841773250256992E-3</v>
      </c>
      <c r="H45" s="232">
        <f>SUM(H46:H47)</f>
        <v>1378.0285128212533</v>
      </c>
      <c r="I45" s="188">
        <f>SUM(I46:I47)</f>
        <v>1408.5622133756135</v>
      </c>
      <c r="J45" s="189">
        <f t="shared" si="3"/>
        <v>2.2157524514386351E-2</v>
      </c>
      <c r="K45" s="9"/>
    </row>
    <row r="46" spans="2:19" s="1" customFormat="1">
      <c r="B46" s="8"/>
      <c r="C46" s="153" t="s">
        <v>66</v>
      </c>
      <c r="D46" s="128"/>
      <c r="E46" s="154">
        <v>44.513115999999982</v>
      </c>
      <c r="F46" s="155">
        <f>E12</f>
        <v>46.31431838809312</v>
      </c>
      <c r="G46" s="156">
        <f t="shared" si="2"/>
        <v>4.0464531579706531E-2</v>
      </c>
      <c r="H46" s="233">
        <v>480.007295</v>
      </c>
      <c r="I46" s="155">
        <v>467.948353439713</v>
      </c>
      <c r="J46" s="156">
        <f t="shared" si="3"/>
        <v>-2.5122413108923713E-2</v>
      </c>
      <c r="K46" s="9"/>
    </row>
    <row r="47" spans="2:19" s="1" customFormat="1" ht="13.8" thickBot="1">
      <c r="B47" s="8"/>
      <c r="C47" s="157" t="s">
        <v>65</v>
      </c>
      <c r="D47" s="128"/>
      <c r="E47" s="158">
        <v>98.987295980139237</v>
      </c>
      <c r="F47" s="159">
        <f>E13</f>
        <v>98.417926574697859</v>
      </c>
      <c r="G47" s="292">
        <f t="shared" si="2"/>
        <v>-5.7519442247984109E-3</v>
      </c>
      <c r="H47" s="234">
        <v>898.02121782125334</v>
      </c>
      <c r="I47" s="159">
        <v>940.61385993590045</v>
      </c>
      <c r="J47" s="160">
        <f t="shared" si="3"/>
        <v>4.7429438491424225E-2</v>
      </c>
      <c r="K47" s="9"/>
    </row>
    <row r="48" spans="2:19" s="1" customFormat="1" ht="14.4" thickTop="1" thickBot="1">
      <c r="B48" s="8"/>
      <c r="C48" s="365" t="s">
        <v>108</v>
      </c>
      <c r="D48" s="366"/>
      <c r="E48" s="190">
        <f>SUM(E40,E45)</f>
        <v>4732.1823889801399</v>
      </c>
      <c r="F48" s="191">
        <f>SUM(F40,F45)</f>
        <v>4978.7550032583067</v>
      </c>
      <c r="G48" s="192">
        <f t="shared" si="2"/>
        <v>5.210547565798862E-2</v>
      </c>
      <c r="H48" s="235">
        <f>SUM(H40,H45)</f>
        <v>42696.13885782125</v>
      </c>
      <c r="I48" s="191">
        <f>SUM(I40,I45)</f>
        <v>44170.911027100978</v>
      </c>
      <c r="J48" s="192">
        <f t="shared" si="3"/>
        <v>3.4541113288738767E-2</v>
      </c>
      <c r="K48" s="9"/>
    </row>
    <row r="49" spans="2:23" s="1" customFormat="1">
      <c r="B49" s="8"/>
      <c r="C49" s="259"/>
      <c r="D49" s="90"/>
      <c r="E49" s="91"/>
      <c r="F49" s="91"/>
      <c r="G49" s="93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3"/>
      <c r="H50" s="9"/>
      <c r="I50" s="9"/>
      <c r="J50" s="9"/>
      <c r="K50" s="9"/>
    </row>
    <row r="51" spans="2:23" s="1" customFormat="1">
      <c r="B51" s="8"/>
      <c r="C51" s="10" t="s">
        <v>119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54"/>
    </row>
    <row r="53" spans="2:23" s="1" customFormat="1" ht="13.8" thickBot="1">
      <c r="B53" s="8"/>
      <c r="C53" s="10"/>
      <c r="H53" s="9"/>
      <c r="I53" s="9"/>
      <c r="J53" s="9"/>
      <c r="K53" s="9"/>
      <c r="L53" s="254"/>
      <c r="M53" s="254"/>
    </row>
    <row r="54" spans="2:23" s="1" customFormat="1" ht="12.75" customHeight="1">
      <c r="B54" s="8"/>
      <c r="C54" s="145"/>
      <c r="D54" s="146"/>
      <c r="E54" s="375" t="s">
        <v>127</v>
      </c>
      <c r="F54" s="376"/>
      <c r="G54" s="377" t="s">
        <v>74</v>
      </c>
      <c r="H54" s="379" t="s">
        <v>128</v>
      </c>
      <c r="I54" s="380"/>
      <c r="J54" s="377" t="s">
        <v>74</v>
      </c>
      <c r="K54" s="9"/>
      <c r="L54" s="254"/>
      <c r="M54" s="254"/>
    </row>
    <row r="55" spans="2:23" s="1" customFormat="1" ht="12.75" customHeight="1">
      <c r="B55" s="8"/>
      <c r="C55" s="148" t="s">
        <v>75</v>
      </c>
      <c r="D55" s="149"/>
      <c r="E55" s="150">
        <v>2021</v>
      </c>
      <c r="F55" s="151">
        <v>2022</v>
      </c>
      <c r="G55" s="378"/>
      <c r="H55" s="231">
        <v>2021</v>
      </c>
      <c r="I55" s="151">
        <v>2022</v>
      </c>
      <c r="J55" s="378"/>
      <c r="K55" s="9"/>
      <c r="L55" s="254"/>
      <c r="M55" s="254"/>
    </row>
    <row r="56" spans="2:23" s="1" customFormat="1">
      <c r="B56" s="8"/>
      <c r="C56" s="370" t="s">
        <v>68</v>
      </c>
      <c r="D56" s="371"/>
      <c r="E56" s="187">
        <f>SUM(E57:E60)</f>
        <v>4588.6819770000011</v>
      </c>
      <c r="F56" s="188">
        <f>SUM(F57:F60)</f>
        <v>4834.0227582955149</v>
      </c>
      <c r="G56" s="189">
        <f>((F56/E56)-1)</f>
        <v>5.3466503567962009E-2</v>
      </c>
      <c r="H56" s="232">
        <f>SUM(H57:H60)</f>
        <v>41318.110344999994</v>
      </c>
      <c r="I56" s="188">
        <f>SUM(I57:I60)</f>
        <v>42762.348813725359</v>
      </c>
      <c r="J56" s="189">
        <f>((I56/H56)-1)</f>
        <v>3.4954126814275677E-2</v>
      </c>
      <c r="K56" s="9"/>
    </row>
    <row r="57" spans="2:23" s="1" customFormat="1" ht="26.4">
      <c r="B57" s="8"/>
      <c r="C57" s="368" t="s">
        <v>78</v>
      </c>
      <c r="D57" s="275" t="s">
        <v>79</v>
      </c>
      <c r="E57" s="316">
        <f>SUM(E43:E44)+21.754124</f>
        <v>221.42330000000004</v>
      </c>
      <c r="F57" s="317">
        <f>SUM(F43:F44)+38.5847984431227</f>
        <v>316.1890966356226</v>
      </c>
      <c r="G57" s="167">
        <f t="shared" ref="G57:G65" si="4">((F57/E57)-1)</f>
        <v>0.42798475424954163</v>
      </c>
      <c r="H57" s="318">
        <f>SUM(H43:H44)+255.441919</f>
        <v>2170.0355239999999</v>
      </c>
      <c r="I57" s="317">
        <f>SUM(I43:I44)+253.893227893123</f>
        <v>2310.3285931681235</v>
      </c>
      <c r="J57" s="167">
        <f t="shared" ref="J57:J65" si="5">((I57/H57)-1)</f>
        <v>6.4650125593116226E-2</v>
      </c>
      <c r="K57" s="9"/>
      <c r="L57" s="254"/>
      <c r="Q57" s="142"/>
      <c r="R57" s="142"/>
      <c r="T57" s="142">
        <v>2021</v>
      </c>
      <c r="U57" s="142">
        <v>2022</v>
      </c>
      <c r="V57" s="142"/>
      <c r="W57" s="142"/>
    </row>
    <row r="58" spans="2:23" s="1" customFormat="1" ht="13.8">
      <c r="B58" s="8"/>
      <c r="C58" s="369"/>
      <c r="D58" s="276" t="s">
        <v>110</v>
      </c>
      <c r="E58" s="264">
        <v>120.10602936999992</v>
      </c>
      <c r="F58" s="321">
        <v>111.67195015499978</v>
      </c>
      <c r="G58" s="274">
        <f t="shared" si="4"/>
        <v>-7.0221946885097863E-2</v>
      </c>
      <c r="H58" s="266">
        <v>1721.4566291624994</v>
      </c>
      <c r="I58" s="265">
        <v>1607.6926863475005</v>
      </c>
      <c r="J58" s="274">
        <f t="shared" si="5"/>
        <v>-6.6085860594899737E-2</v>
      </c>
      <c r="K58" s="9"/>
      <c r="L58" s="254"/>
      <c r="M58" s="254"/>
      <c r="Q58" s="374" t="s">
        <v>80</v>
      </c>
      <c r="R58" s="142" t="s">
        <v>66</v>
      </c>
      <c r="T58" s="143">
        <f>SUM(E60,E64)</f>
        <v>1836.3780886300008</v>
      </c>
      <c r="U58" s="143">
        <f>SUM(F60,F64)</f>
        <v>1846.9269023749259</v>
      </c>
      <c r="V58" s="144">
        <f t="shared" ref="V58:W61" si="6">T58/T$64</f>
        <v>0.38806156180843421</v>
      </c>
      <c r="W58" s="144">
        <f t="shared" si="6"/>
        <v>0.3709615960548811</v>
      </c>
    </row>
    <row r="59" spans="2:23" s="1" customFormat="1">
      <c r="B59" s="8"/>
      <c r="C59" s="367" t="s">
        <v>80</v>
      </c>
      <c r="D59" s="277" t="s">
        <v>81</v>
      </c>
      <c r="E59" s="154">
        <f>SUM(E42:E44)-E57</f>
        <v>2455.2876750000005</v>
      </c>
      <c r="F59" s="155">
        <f>SUM(F42:F44)-F57</f>
        <v>2605.5491275180598</v>
      </c>
      <c r="G59" s="273">
        <f t="shared" si="4"/>
        <v>6.119912303883468E-2</v>
      </c>
      <c r="H59" s="233">
        <f>SUM(H42:H44)-H57</f>
        <v>15599.153693999997</v>
      </c>
      <c r="I59" s="155">
        <f>SUM(I42:I44)-I57</f>
        <v>17221.935736843061</v>
      </c>
      <c r="J59" s="273">
        <f t="shared" si="5"/>
        <v>0.10403013360059687</v>
      </c>
      <c r="K59" s="9"/>
      <c r="Q59" s="374"/>
      <c r="R59" s="142" t="s">
        <v>65</v>
      </c>
      <c r="T59" s="143">
        <f>SUM(E59,E63)</f>
        <v>2535.5078279801396</v>
      </c>
      <c r="U59" s="143">
        <f>SUM(F59,F63)</f>
        <v>2687.9717418064479</v>
      </c>
      <c r="V59" s="144">
        <f t="shared" si="6"/>
        <v>0.53580095177324327</v>
      </c>
      <c r="W59" s="144">
        <f t="shared" si="6"/>
        <v>0.53988833353867116</v>
      </c>
    </row>
    <row r="60" spans="2:23" s="1" customFormat="1">
      <c r="B60" s="8"/>
      <c r="C60" s="367"/>
      <c r="D60" s="278" t="s">
        <v>41</v>
      </c>
      <c r="E60" s="154">
        <f>E41-E58</f>
        <v>1791.8649726300007</v>
      </c>
      <c r="F60" s="155">
        <f>F41-F58</f>
        <v>1800.6125839868328</v>
      </c>
      <c r="G60" s="357">
        <f t="shared" si="4"/>
        <v>4.8818473994682865E-3</v>
      </c>
      <c r="H60" s="233">
        <f>H41-H58</f>
        <v>21827.4644978375</v>
      </c>
      <c r="I60" s="155">
        <f>I41-I58</f>
        <v>21622.391797366672</v>
      </c>
      <c r="J60" s="273">
        <f t="shared" si="5"/>
        <v>-9.3951682061443886E-3</v>
      </c>
      <c r="K60" s="9"/>
      <c r="Q60" s="374" t="s">
        <v>78</v>
      </c>
      <c r="R60" s="142" t="s">
        <v>66</v>
      </c>
      <c r="T60" s="143">
        <f>E58</f>
        <v>120.10602936999992</v>
      </c>
      <c r="U60" s="143">
        <f>F58</f>
        <v>111.67195015499978</v>
      </c>
      <c r="V60" s="144">
        <f t="shared" si="6"/>
        <v>2.538068474488462E-2</v>
      </c>
      <c r="W60" s="144">
        <f t="shared" si="6"/>
        <v>2.2429693785277038E-2</v>
      </c>
    </row>
    <row r="61" spans="2:23" s="1" customFormat="1">
      <c r="B61" s="8"/>
      <c r="C61" s="370" t="s">
        <v>64</v>
      </c>
      <c r="D61" s="371"/>
      <c r="E61" s="187">
        <f>SUM(E62:E64)</f>
        <v>143.50041198013923</v>
      </c>
      <c r="F61" s="188">
        <f>SUM(F62:F64)</f>
        <v>144.73224496279099</v>
      </c>
      <c r="G61" s="189">
        <f t="shared" si="4"/>
        <v>8.5841773250256992E-3</v>
      </c>
      <c r="H61" s="232">
        <f>SUM(H62:H64)</f>
        <v>1378.0285128212533</v>
      </c>
      <c r="I61" s="188">
        <f>SUM(I62:I64)</f>
        <v>1408.5622133756135</v>
      </c>
      <c r="J61" s="189">
        <f t="shared" si="5"/>
        <v>2.2157524514386351E-2</v>
      </c>
      <c r="K61" s="9"/>
      <c r="Q61" s="374"/>
      <c r="R61" s="142" t="s">
        <v>89</v>
      </c>
      <c r="T61" s="143">
        <f>E57+E62</f>
        <v>240.19044300000004</v>
      </c>
      <c r="U61" s="143">
        <f>F57+F62</f>
        <v>332.18440892193217</v>
      </c>
      <c r="V61" s="144">
        <f t="shared" si="6"/>
        <v>5.0756801673437789E-2</v>
      </c>
      <c r="W61" s="144">
        <f t="shared" si="6"/>
        <v>6.672037662117071E-2</v>
      </c>
    </row>
    <row r="62" spans="2:23" s="1" customFormat="1">
      <c r="B62" s="8"/>
      <c r="C62" s="304" t="s">
        <v>78</v>
      </c>
      <c r="D62" s="305" t="s">
        <v>114</v>
      </c>
      <c r="E62" s="349">
        <v>18.767143000000001</v>
      </c>
      <c r="F62" s="319">
        <v>15.995312286309566</v>
      </c>
      <c r="G62" s="306">
        <f t="shared" si="4"/>
        <v>-0.14769593398901659</v>
      </c>
      <c r="H62" s="320">
        <v>141.95897399999998</v>
      </c>
      <c r="I62" s="319">
        <v>135.63685328630959</v>
      </c>
      <c r="J62" s="306">
        <f t="shared" si="5"/>
        <v>-4.4534843663285417E-2</v>
      </c>
      <c r="K62" s="9"/>
      <c r="Q62" s="142"/>
      <c r="R62" s="142"/>
      <c r="T62" s="142"/>
      <c r="U62" s="142"/>
      <c r="V62" s="142"/>
      <c r="W62" s="142"/>
    </row>
    <row r="63" spans="2:23" s="1" customFormat="1">
      <c r="B63" s="8"/>
      <c r="C63" s="372" t="s">
        <v>80</v>
      </c>
      <c r="D63" s="277" t="s">
        <v>81</v>
      </c>
      <c r="E63" s="154">
        <f>E47-E62</f>
        <v>80.220152980139233</v>
      </c>
      <c r="F63" s="155">
        <f>F47-F62</f>
        <v>82.422614288388289</v>
      </c>
      <c r="G63" s="273">
        <f>((F63/E63)-1)</f>
        <v>2.7455212018784536E-2</v>
      </c>
      <c r="H63" s="233">
        <f>H47-H62</f>
        <v>756.06224382125333</v>
      </c>
      <c r="I63" s="155">
        <f>I47-I62</f>
        <v>804.97700664959086</v>
      </c>
      <c r="J63" s="273">
        <f>((I63/H63)-1)</f>
        <v>6.4696740550242104E-2</v>
      </c>
      <c r="K63" s="9"/>
      <c r="Q63" s="142"/>
      <c r="R63" s="142"/>
      <c r="T63" s="142"/>
      <c r="U63" s="142"/>
      <c r="V63" s="142"/>
      <c r="W63" s="142"/>
    </row>
    <row r="64" spans="2:23" s="1" customFormat="1" ht="13.8" thickBot="1">
      <c r="B64" s="8"/>
      <c r="C64" s="373"/>
      <c r="D64" s="279" t="s">
        <v>41</v>
      </c>
      <c r="E64" s="158">
        <f>E46</f>
        <v>44.513115999999982</v>
      </c>
      <c r="F64" s="159">
        <f>F46</f>
        <v>46.31431838809312</v>
      </c>
      <c r="G64" s="160">
        <f t="shared" si="4"/>
        <v>4.0464531579706531E-2</v>
      </c>
      <c r="H64" s="234">
        <f>H46</f>
        <v>480.007295</v>
      </c>
      <c r="I64" s="159">
        <f>I46</f>
        <v>467.948353439713</v>
      </c>
      <c r="J64" s="160">
        <f t="shared" si="5"/>
        <v>-2.5122413108923713E-2</v>
      </c>
      <c r="K64" s="9"/>
      <c r="Q64" s="142"/>
      <c r="R64" s="142"/>
      <c r="T64" s="143">
        <f>SUM(T58:T61)</f>
        <v>4732.1823889801408</v>
      </c>
      <c r="U64" s="143">
        <f>SUM(U58:U61)</f>
        <v>4978.7550032583058</v>
      </c>
      <c r="V64" s="142"/>
      <c r="W64" s="142"/>
    </row>
    <row r="65" spans="2:22" s="1" customFormat="1" ht="14.4" thickTop="1" thickBot="1">
      <c r="B65" s="8"/>
      <c r="C65" s="365" t="s">
        <v>108</v>
      </c>
      <c r="D65" s="366"/>
      <c r="E65" s="190">
        <f>SUM(E56,E61)</f>
        <v>4732.1823889801399</v>
      </c>
      <c r="F65" s="191">
        <f>SUM(F56,F61)</f>
        <v>4978.7550032583058</v>
      </c>
      <c r="G65" s="192">
        <f t="shared" si="4"/>
        <v>5.2105475657988398E-2</v>
      </c>
      <c r="H65" s="235">
        <f>SUM(H56,H61)</f>
        <v>42696.13885782125</v>
      </c>
      <c r="I65" s="191">
        <f>SUM(I56,I61)</f>
        <v>44170.91102710097</v>
      </c>
      <c r="J65" s="192">
        <f t="shared" si="5"/>
        <v>3.4541113288738545E-2</v>
      </c>
      <c r="K65" s="9"/>
      <c r="Q65" s="142"/>
      <c r="R65" s="142"/>
      <c r="S65" s="142"/>
      <c r="T65" s="142"/>
      <c r="U65" s="142"/>
      <c r="V65" s="142"/>
    </row>
    <row r="66" spans="2:22" s="1" customFormat="1">
      <c r="B66" s="8"/>
      <c r="C66" s="259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3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tabSelected="1" view="pageBreakPreview" zoomScale="120" zoomScaleNormal="100" zoomScaleSheetLayoutView="120" workbookViewId="0">
      <selection activeCell="K23" sqref="K23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1958.5988525299258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2596.0429772620464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90.058823939484682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54.580110729432249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202.55721991499991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75.047078277500006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70">
        <f t="shared" si="0"/>
        <v>1.8699406049192593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4978.7550032583076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 t="s">
        <v>125</v>
      </c>
      <c r="D23" s="26"/>
      <c r="E23" s="26"/>
      <c r="F23" s="310"/>
      <c r="G23" s="258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293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27"/>
      <c r="D25" s="127"/>
      <c r="E25" s="163"/>
      <c r="F25" s="163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294" t="s">
        <v>61</v>
      </c>
      <c r="D26" s="389" t="s">
        <v>127</v>
      </c>
      <c r="E26" s="389"/>
      <c r="F26" s="385" t="s">
        <v>74</v>
      </c>
      <c r="G26" s="383" t="s">
        <v>128</v>
      </c>
      <c r="H26" s="384"/>
      <c r="I26" s="385" t="s">
        <v>74</v>
      </c>
      <c r="J26" s="20"/>
      <c r="K26" s="54"/>
      <c r="L26" s="54"/>
      <c r="M26" s="55"/>
      <c r="N26" s="70">
        <v>2021</v>
      </c>
      <c r="O26" s="70">
        <v>2022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295"/>
      <c r="D27" s="94">
        <v>2021</v>
      </c>
      <c r="E27" s="95">
        <v>2022</v>
      </c>
      <c r="F27" s="386"/>
      <c r="G27" s="236">
        <v>2021</v>
      </c>
      <c r="H27" s="95">
        <v>2022</v>
      </c>
      <c r="I27" s="386"/>
      <c r="J27" s="20"/>
      <c r="K27" s="54"/>
      <c r="L27" s="54"/>
      <c r="M27" s="55" t="s">
        <v>85</v>
      </c>
      <c r="N27" s="70">
        <f t="shared" ref="N27:O29" si="1">D28</f>
        <v>1956.4841180000008</v>
      </c>
      <c r="O27" s="70">
        <f t="shared" si="1"/>
        <v>1958.5988525299258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4" t="s">
        <v>85</v>
      </c>
      <c r="D28" s="165">
        <f>'Resumen (G)'!E41+'Resumen (G)'!E46</f>
        <v>1956.4841180000008</v>
      </c>
      <c r="E28" s="166">
        <f>'Resumen (G)'!F41+'Resumen (G)'!F46</f>
        <v>1958.5988525299258</v>
      </c>
      <c r="F28" s="360">
        <f>+E28/D28-1</f>
        <v>1.0808850991781416E-3</v>
      </c>
      <c r="G28" s="249">
        <f>'Resumen (G)'!H41+'Resumen (G)'!H46</f>
        <v>24028.928421999997</v>
      </c>
      <c r="H28" s="166">
        <f>'Resumen (G)'!I41+'Resumen (G)'!I46</f>
        <v>23698.032837153885</v>
      </c>
      <c r="I28" s="167">
        <f>+H28/G28-1</f>
        <v>-1.3770717488306938E-2</v>
      </c>
      <c r="J28" s="293"/>
      <c r="K28" s="54"/>
      <c r="L28" s="54"/>
      <c r="M28" s="55" t="s">
        <v>2</v>
      </c>
      <c r="N28" s="70">
        <f t="shared" si="1"/>
        <v>2456.2050719999997</v>
      </c>
      <c r="O28" s="70">
        <f t="shared" si="1"/>
        <v>2596.0429772620464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68" t="s">
        <v>2</v>
      </c>
      <c r="D29" s="169">
        <v>2456.2050719999997</v>
      </c>
      <c r="E29" s="170">
        <v>2596.0429772620464</v>
      </c>
      <c r="F29" s="171">
        <f t="shared" ref="F29:F35" si="2">+E29/D29-1</f>
        <v>5.6932504071486756E-2</v>
      </c>
      <c r="G29" s="250">
        <v>15652.430769000001</v>
      </c>
      <c r="H29" s="170">
        <v>17307.008400697046</v>
      </c>
      <c r="I29" s="171">
        <f t="shared" ref="I29:I35" si="3">+H29/G29-1</f>
        <v>0.10570739178568833</v>
      </c>
      <c r="J29" s="256"/>
      <c r="K29" s="257"/>
      <c r="L29" s="54"/>
      <c r="M29" s="55" t="s">
        <v>84</v>
      </c>
      <c r="N29" s="70">
        <f t="shared" si="1"/>
        <v>78.24615598013952</v>
      </c>
      <c r="O29" s="70">
        <f t="shared" si="1"/>
        <v>90.058823939484682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68" t="s">
        <v>3</v>
      </c>
      <c r="D30" s="169">
        <f>'Resumen (G)'!E32-SUM('TipoRecurso (G)'!D28:D29,'TipoRecurso (G)'!D31:D34)</f>
        <v>78.24615598013952</v>
      </c>
      <c r="E30" s="170">
        <f>'Resumen (G)'!F32-SUM('TipoRecurso (G)'!E28:E29,'TipoRecurso (G)'!E31:E34)</f>
        <v>90.058823939484682</v>
      </c>
      <c r="F30" s="171">
        <f t="shared" si="2"/>
        <v>0.15096802918143948</v>
      </c>
      <c r="G30" s="250">
        <f>'Resumen (G)'!H32-SUM('TipoRecurso (G)'!G28:G29,'TipoRecurso (G)'!G31:G34)</f>
        <v>685.48362782124605</v>
      </c>
      <c r="H30" s="170">
        <f>'Resumen (G)'!I32-SUM('TipoRecurso (G)'!H28:H29,'TipoRecurso (G)'!H31:H34)</f>
        <v>701.20313484196231</v>
      </c>
      <c r="I30" s="171">
        <f t="shared" si="3"/>
        <v>2.2931994846732362E-2</v>
      </c>
      <c r="J30" s="293"/>
      <c r="K30" s="54"/>
      <c r="L30" s="54"/>
      <c r="M30" s="55" t="s">
        <v>4</v>
      </c>
      <c r="N30" s="98">
        <f>D34</f>
        <v>1.0566</v>
      </c>
      <c r="O30" s="98">
        <f>E34</f>
        <v>1.8699406049192593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68" t="s">
        <v>6</v>
      </c>
      <c r="D31" s="169">
        <f>'Resumen (G)'!E57+'Resumen (G)'!E62-SUM('TipoRecurso (G)'!D32:D33)</f>
        <v>40.521266999999995</v>
      </c>
      <c r="E31" s="170">
        <f>'Resumen (G)'!F57+'Resumen (G)'!F62-SUM('TipoRecurso (G)'!E32:E33)</f>
        <v>54.580110729432249</v>
      </c>
      <c r="F31" s="171">
        <f t="shared" si="2"/>
        <v>0.34694975676432471</v>
      </c>
      <c r="G31" s="250">
        <f>'Resumen (G)'!H57+'Resumen (G)'!H62-SUM('TipoRecurso (G)'!G32:G33)</f>
        <v>397.40089300000022</v>
      </c>
      <c r="H31" s="170">
        <f>'Resumen (G)'!I57+'Resumen (G)'!I62-SUM('TipoRecurso (G)'!H32:H33)</f>
        <v>389.53008117943227</v>
      </c>
      <c r="I31" s="171">
        <f t="shared" si="3"/>
        <v>-1.9805722531599734E-2</v>
      </c>
      <c r="J31" s="20"/>
      <c r="K31" s="54"/>
      <c r="L31" s="54"/>
      <c r="M31" s="55" t="s">
        <v>90</v>
      </c>
      <c r="N31" s="70">
        <f t="shared" ref="N31:O33" si="4">D31</f>
        <v>40.521266999999995</v>
      </c>
      <c r="O31" s="70">
        <f t="shared" si="4"/>
        <v>54.580110729432249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68" t="s">
        <v>14</v>
      </c>
      <c r="D32" s="169">
        <f>'Resumen (G)'!E43</f>
        <v>128.84733200000002</v>
      </c>
      <c r="E32" s="170">
        <f>'Resumen (G)'!F43</f>
        <v>202.55721991499991</v>
      </c>
      <c r="F32" s="171">
        <f t="shared" si="2"/>
        <v>0.57207151107327436</v>
      </c>
      <c r="G32" s="250">
        <f>'Resumen (G)'!H43</f>
        <v>1343.7741849999998</v>
      </c>
      <c r="H32" s="170">
        <f>'Resumen (G)'!I43</f>
        <v>1475.0170423575003</v>
      </c>
      <c r="I32" s="171">
        <f t="shared" si="3"/>
        <v>9.7667345319258692E-2</v>
      </c>
      <c r="J32" s="20"/>
      <c r="K32" s="54"/>
      <c r="L32" s="54"/>
      <c r="M32" s="55" t="s">
        <v>14</v>
      </c>
      <c r="N32" s="70">
        <f t="shared" si="4"/>
        <v>128.84733200000002</v>
      </c>
      <c r="O32" s="70">
        <f t="shared" si="4"/>
        <v>202.55721991499991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68" t="s">
        <v>5</v>
      </c>
      <c r="D33" s="169">
        <f>'Resumen (G)'!E44</f>
        <v>70.821844000000013</v>
      </c>
      <c r="E33" s="170">
        <f>'Resumen (G)'!F44</f>
        <v>75.047078277500006</v>
      </c>
      <c r="F33" s="171">
        <f t="shared" si="2"/>
        <v>5.9660043269983198E-2</v>
      </c>
      <c r="G33" s="250">
        <f>'Resumen (G)'!H44</f>
        <v>570.81942000000004</v>
      </c>
      <c r="H33" s="170">
        <f>'Resumen (G)'!I44</f>
        <v>581.41832291750006</v>
      </c>
      <c r="I33" s="171">
        <f t="shared" si="3"/>
        <v>1.8567873737547425E-2</v>
      </c>
      <c r="J33" s="20"/>
      <c r="K33" s="54"/>
      <c r="L33" s="54"/>
      <c r="M33" s="55" t="s">
        <v>5</v>
      </c>
      <c r="N33" s="70">
        <f t="shared" si="4"/>
        <v>70.821844000000013</v>
      </c>
      <c r="O33" s="70">
        <f t="shared" si="4"/>
        <v>75.047078277500006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2" t="s">
        <v>4</v>
      </c>
      <c r="D34" s="359">
        <v>1.0566</v>
      </c>
      <c r="E34" s="354">
        <v>1.8699406049192593</v>
      </c>
      <c r="F34" s="173">
        <f t="shared" si="2"/>
        <v>0.76977153598264181</v>
      </c>
      <c r="G34" s="353">
        <v>17.301541</v>
      </c>
      <c r="H34" s="354">
        <v>18.701207953639113</v>
      </c>
      <c r="I34" s="173">
        <f t="shared" si="3"/>
        <v>8.0898398220084156E-2</v>
      </c>
      <c r="J34" s="20"/>
      <c r="K34" s="54"/>
      <c r="L34" s="54"/>
      <c r="M34" s="96"/>
      <c r="N34" s="97">
        <f>SUM(N27:N33)</f>
        <v>4732.1823889801408</v>
      </c>
      <c r="O34" s="97">
        <f>SUM(O27:O33)</f>
        <v>4978.7550032583076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296" t="s">
        <v>108</v>
      </c>
      <c r="D35" s="297">
        <f>SUM(D28:D34)</f>
        <v>4732.1823889801408</v>
      </c>
      <c r="E35" s="298">
        <f>SUM(E28:E34)</f>
        <v>4978.7550032583076</v>
      </c>
      <c r="F35" s="299">
        <f t="shared" si="2"/>
        <v>5.210547565798862E-2</v>
      </c>
      <c r="G35" s="300">
        <f>SUM(G28:G34)</f>
        <v>42696.138857821243</v>
      </c>
      <c r="H35" s="298">
        <f>SUM(H28:H34)</f>
        <v>44170.91102710097</v>
      </c>
      <c r="I35" s="301">
        <f t="shared" si="3"/>
        <v>3.4541113288738767E-2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4"/>
      <c r="D36" s="174"/>
      <c r="E36" s="175"/>
      <c r="F36" s="176"/>
      <c r="G36" s="17"/>
      <c r="H36" s="17"/>
      <c r="I36" s="18"/>
      <c r="J36" s="20"/>
      <c r="K36" s="54"/>
      <c r="L36" s="54"/>
      <c r="M36" s="55"/>
      <c r="N36" s="97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27"/>
      <c r="N39" s="227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27">
        <f t="shared" ref="M40:N46" si="5">N27/N$34</f>
        <v>0.41344224655331885</v>
      </c>
      <c r="N40" s="227">
        <f t="shared" si="5"/>
        <v>0.39339128984015803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27">
        <f t="shared" si="5"/>
        <v>0.51904277352449013</v>
      </c>
      <c r="N41" s="227">
        <f t="shared" si="5"/>
        <v>0.52142412622494705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27">
        <f t="shared" si="5"/>
        <v>1.6534898604574452E-2</v>
      </c>
      <c r="N42" s="227">
        <f t="shared" si="5"/>
        <v>1.8088623336666772E-2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27">
        <f t="shared" si="5"/>
        <v>2.232796441786585E-4</v>
      </c>
      <c r="N43" s="227">
        <f t="shared" si="5"/>
        <v>3.7558397705761605E-4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27">
        <f t="shared" si="5"/>
        <v>8.5629131908275744E-3</v>
      </c>
      <c r="N44" s="227">
        <f t="shared" si="5"/>
        <v>1.0962602235641786E-2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27">
        <f t="shared" si="5"/>
        <v>2.7227887982518916E-2</v>
      </c>
      <c r="N45" s="227">
        <f t="shared" si="5"/>
        <v>4.0684311596460944E-2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27">
        <f t="shared" si="5"/>
        <v>1.4966000500091297E-2</v>
      </c>
      <c r="N46" s="227">
        <f t="shared" si="5"/>
        <v>1.5073462789067954E-2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27">
        <f>N34/N$34</f>
        <v>1</v>
      </c>
      <c r="N47" s="227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28">
        <f>SUM(M39:M46)</f>
        <v>1</v>
      </c>
      <c r="N49" s="228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 ht="13.8">
      <c r="C53" s="387" t="s">
        <v>91</v>
      </c>
      <c r="D53" s="389" t="s">
        <v>127</v>
      </c>
      <c r="E53" s="389"/>
      <c r="F53" s="385" t="s">
        <v>74</v>
      </c>
      <c r="G53" s="383" t="s">
        <v>128</v>
      </c>
      <c r="H53" s="384"/>
      <c r="I53" s="385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8"/>
      <c r="D54" s="94">
        <v>2021</v>
      </c>
      <c r="E54" s="95">
        <v>2022</v>
      </c>
      <c r="F54" s="386"/>
      <c r="G54" s="236">
        <v>2021</v>
      </c>
      <c r="H54" s="95">
        <v>2022</v>
      </c>
      <c r="I54" s="386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83" t="s">
        <v>42</v>
      </c>
      <c r="D55" s="284">
        <f>SUM(D28:D30,D34)</f>
        <v>4491.9919459801404</v>
      </c>
      <c r="E55" s="285">
        <f>SUM(E28:E30,E34)</f>
        <v>4646.5705943363755</v>
      </c>
      <c r="F55" s="286">
        <f>+E55/D55-1</f>
        <v>3.4412049312458448E-2</v>
      </c>
      <c r="G55" s="287">
        <f>SUM(G28:G30,G34)</f>
        <v>40384.144359821243</v>
      </c>
      <c r="H55" s="285">
        <f>SUM(H28:H30,H34)</f>
        <v>41724.945580646534</v>
      </c>
      <c r="I55" s="286">
        <f>+H55/G55-1</f>
        <v>3.3201179375717427E-2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88" t="s">
        <v>104</v>
      </c>
      <c r="D56" s="346">
        <f>SUM(D31:D33)</f>
        <v>240.19044300000002</v>
      </c>
      <c r="E56" s="289">
        <f>SUM(E31:E33)</f>
        <v>332.18440892193217</v>
      </c>
      <c r="F56" s="347">
        <f>+E56/D56-1</f>
        <v>0.38300427266347215</v>
      </c>
      <c r="G56" s="361">
        <f>SUM(G31:G33)</f>
        <v>2311.994498</v>
      </c>
      <c r="H56" s="289">
        <f>SUM(H31:H33)</f>
        <v>2445.9654464544328</v>
      </c>
      <c r="I56" s="362">
        <f>+H56/G56-1</f>
        <v>5.7946049858823123E-2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1" t="s">
        <v>71</v>
      </c>
      <c r="D57" s="99">
        <f>SUM(D55:D56)</f>
        <v>4732.1823889801408</v>
      </c>
      <c r="E57" s="100">
        <f>SUM(E55:E56)</f>
        <v>4978.7550032583076</v>
      </c>
      <c r="F57" s="101">
        <f>+E57/D57-1</f>
        <v>5.210547565798862E-2</v>
      </c>
      <c r="G57" s="251">
        <f>SUM(G55:G56)</f>
        <v>42696.138857821243</v>
      </c>
      <c r="H57" s="100">
        <f>SUM(H55:H56)</f>
        <v>44170.91102710097</v>
      </c>
      <c r="I57" s="101">
        <f>+H57/G57-1</f>
        <v>3.4541113288738767E-2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4" t="s">
        <v>8</v>
      </c>
      <c r="D58" s="102">
        <f>+D56/D57</f>
        <v>5.0756801673437782E-2</v>
      </c>
      <c r="E58" s="103">
        <f>+E56/E57</f>
        <v>6.6720376621170682E-2</v>
      </c>
      <c r="F58" s="104"/>
      <c r="G58" s="252">
        <f>+G56/G57</f>
        <v>5.4149966714764887E-2</v>
      </c>
      <c r="H58" s="103">
        <f>+H56/H57</f>
        <v>5.5375028261330533E-2</v>
      </c>
      <c r="I58" s="104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0" t="s">
        <v>105</v>
      </c>
      <c r="D59" s="122"/>
      <c r="E59" s="122"/>
      <c r="F59" s="123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4491.9919459801404</v>
      </c>
      <c r="N63" s="76">
        <f>E55</f>
        <v>4646.5705943363755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240.19044300000002</v>
      </c>
      <c r="N64" s="76">
        <f>E56</f>
        <v>332.18440892193217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0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2021</v>
      </c>
      <c r="O75" s="55">
        <v>2022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11"/>
      <c r="D76" s="389" t="s">
        <v>127</v>
      </c>
      <c r="E76" s="389"/>
      <c r="F76" s="105" t="s">
        <v>74</v>
      </c>
      <c r="G76" s="383" t="s">
        <v>128</v>
      </c>
      <c r="H76" s="384"/>
      <c r="I76" s="225" t="s">
        <v>74</v>
      </c>
      <c r="J76" s="19"/>
      <c r="K76" s="57"/>
      <c r="L76" s="57"/>
      <c r="M76" s="55" t="s">
        <v>96</v>
      </c>
      <c r="N76" s="70">
        <f>D78</f>
        <v>1.51646327</v>
      </c>
      <c r="O76" s="70">
        <f>E78</f>
        <v>4.2894431449999999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344" t="s">
        <v>95</v>
      </c>
      <c r="D77" s="345">
        <v>2021</v>
      </c>
      <c r="E77" s="95">
        <v>2022</v>
      </c>
      <c r="F77" s="106"/>
      <c r="G77" s="338">
        <v>2021</v>
      </c>
      <c r="H77" s="95">
        <v>2022</v>
      </c>
      <c r="I77" s="226"/>
      <c r="J77" s="19"/>
      <c r="K77" s="57"/>
      <c r="L77" s="57"/>
      <c r="M77" s="55" t="s">
        <v>97</v>
      </c>
      <c r="N77" s="70">
        <f>D79</f>
        <v>4587.1655137300013</v>
      </c>
      <c r="O77" s="70">
        <f>E79</f>
        <v>4829.7333151505154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3" t="s">
        <v>96</v>
      </c>
      <c r="D78" s="154">
        <v>1.51646327</v>
      </c>
      <c r="E78" s="343">
        <v>4.2894431449999999</v>
      </c>
      <c r="F78" s="156">
        <f>((E78/D78)-1)</f>
        <v>1.8285836062485048</v>
      </c>
      <c r="G78" s="233">
        <v>25.556319072499996</v>
      </c>
      <c r="H78" s="343">
        <v>271.95121535250001</v>
      </c>
      <c r="I78" s="156">
        <f>((H78/G78)-1)</f>
        <v>9.6412513703952953</v>
      </c>
      <c r="J78" s="19"/>
      <c r="K78" s="255"/>
      <c r="L78" s="57"/>
    </row>
    <row r="79" spans="2:28" ht="16.5" customHeight="1" thickBot="1">
      <c r="C79" s="290" t="s">
        <v>97</v>
      </c>
      <c r="D79" s="158">
        <f>'Resumen (G)'!E40-D78</f>
        <v>4587.1655137300013</v>
      </c>
      <c r="E79" s="322">
        <f>'Resumen (G)'!F40-E78</f>
        <v>4829.7333151505154</v>
      </c>
      <c r="F79" s="160">
        <f>((E79/D79)-1)</f>
        <v>5.287967061456067E-2</v>
      </c>
      <c r="G79" s="234">
        <f>'Resumen (G)'!H40-G78</f>
        <v>41292.554025927493</v>
      </c>
      <c r="H79" s="322">
        <f>'Resumen (G)'!I40-H78</f>
        <v>42490.397598372867</v>
      </c>
      <c r="I79" s="160">
        <f>((H79/G79)-1)</f>
        <v>2.9008706308000454E-2</v>
      </c>
      <c r="J79" s="19"/>
      <c r="K79" s="57"/>
      <c r="L79" s="57"/>
      <c r="M79" s="70"/>
      <c r="N79" s="70"/>
      <c r="O79" s="70"/>
    </row>
    <row r="80" spans="2:28" ht="14.4" thickTop="1" thickBot="1">
      <c r="C80" s="125" t="s">
        <v>94</v>
      </c>
      <c r="D80" s="229">
        <f>SUM(D78:D79)</f>
        <v>4588.6819770000011</v>
      </c>
      <c r="E80" s="323">
        <f>SUM(E78:E79)</f>
        <v>4834.0227582955158</v>
      </c>
      <c r="F80" s="126"/>
      <c r="G80" s="253">
        <f>SUM(G78:G79)</f>
        <v>41318.110344999994</v>
      </c>
      <c r="H80" s="323">
        <f>SUM(H78:H79)</f>
        <v>42762.348813725366</v>
      </c>
      <c r="I80" s="126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zoomScale="90" zoomScaleNormal="100" zoomScaleSheetLayoutView="90" workbookViewId="0">
      <selection activeCell="C1" sqref="C1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8.33203125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130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5" t="s">
        <v>44</v>
      </c>
      <c r="D8" s="397" t="s">
        <v>127</v>
      </c>
      <c r="E8" s="398"/>
      <c r="F8" s="385" t="s">
        <v>74</v>
      </c>
      <c r="G8" s="383" t="s">
        <v>128</v>
      </c>
      <c r="H8" s="384"/>
      <c r="I8" s="385" t="s">
        <v>74</v>
      </c>
      <c r="J8" s="26"/>
    </row>
    <row r="9" spans="2:13" s="1" customFormat="1" ht="13.5" customHeight="1">
      <c r="B9" s="19"/>
      <c r="C9" s="206"/>
      <c r="D9" s="109">
        <v>2021</v>
      </c>
      <c r="E9" s="95">
        <v>2022</v>
      </c>
      <c r="F9" s="386"/>
      <c r="G9" s="338">
        <v>2021</v>
      </c>
      <c r="H9" s="95">
        <v>2022</v>
      </c>
      <c r="I9" s="386"/>
      <c r="J9" s="26"/>
    </row>
    <row r="10" spans="2:13">
      <c r="C10" s="193" t="s">
        <v>10</v>
      </c>
      <c r="D10" s="194">
        <f>'Por Región (G)'!O8</f>
        <v>284.75209200000006</v>
      </c>
      <c r="E10" s="195">
        <f>'Por Región (G)'!P8</f>
        <v>354.43774935209257</v>
      </c>
      <c r="F10" s="196">
        <f>+E10/D10-1</f>
        <v>0.2447239522022282</v>
      </c>
      <c r="G10" s="334">
        <f>'Por Región (G)'!Q8</f>
        <v>2795.2965789999998</v>
      </c>
      <c r="H10" s="195">
        <f>'Por Región (G)'!R8</f>
        <v>2995.4117131028661</v>
      </c>
      <c r="I10" s="196">
        <f>+H10/G10-1</f>
        <v>7.1589947058303238E-2</v>
      </c>
      <c r="J10" s="26"/>
      <c r="L10" s="142" t="s">
        <v>9</v>
      </c>
      <c r="M10" s="230">
        <f>E11</f>
        <v>4059.9598815858908</v>
      </c>
    </row>
    <row r="11" spans="2:13">
      <c r="C11" s="197" t="s">
        <v>9</v>
      </c>
      <c r="D11" s="198">
        <f>'Por Región (G)'!O9</f>
        <v>3937.0742850000015</v>
      </c>
      <c r="E11" s="199">
        <f>'Por Región (G)'!P9</f>
        <v>4059.9598815858908</v>
      </c>
      <c r="F11" s="200">
        <f>+E11/D11-1</f>
        <v>3.1212415029626239E-2</v>
      </c>
      <c r="G11" s="335">
        <f>'Por Región (G)'!Q9</f>
        <v>34364.752159000011</v>
      </c>
      <c r="H11" s="199">
        <f>'Por Región (G)'!R9</f>
        <v>35630.59215977406</v>
      </c>
      <c r="I11" s="200">
        <f>+H11/G11-1</f>
        <v>3.6835417724452535E-2</v>
      </c>
      <c r="J11" s="26"/>
      <c r="L11" s="142" t="s">
        <v>12</v>
      </c>
      <c r="M11" s="230">
        <f>E12</f>
        <v>530.07787207032391</v>
      </c>
    </row>
    <row r="12" spans="2:13">
      <c r="C12" s="197" t="s">
        <v>12</v>
      </c>
      <c r="D12" s="198">
        <f>'Por Región (G)'!O10</f>
        <v>474.45130600000005</v>
      </c>
      <c r="E12" s="199">
        <f>'Por Región (G)'!P10</f>
        <v>530.07787207032391</v>
      </c>
      <c r="F12" s="200">
        <f>+E12/D12-1</f>
        <v>0.1172439939923442</v>
      </c>
      <c r="G12" s="335">
        <f>'Por Región (G)'!Q10</f>
        <v>5232.2026079999996</v>
      </c>
      <c r="H12" s="199">
        <f>'Por Región (G)'!R10</f>
        <v>5235.8119431329324</v>
      </c>
      <c r="I12" s="364">
        <f>+H12/G12-1</f>
        <v>6.8983091889718295E-4</v>
      </c>
      <c r="J12" s="26"/>
      <c r="L12" s="142" t="s">
        <v>10</v>
      </c>
      <c r="M12" s="230">
        <f>E10</f>
        <v>354.43774935209257</v>
      </c>
    </row>
    <row r="13" spans="2:13">
      <c r="C13" s="201" t="s">
        <v>11</v>
      </c>
      <c r="D13" s="202">
        <f>'Por Región (G)'!O11</f>
        <v>35.904704999999993</v>
      </c>
      <c r="E13" s="203">
        <f>'Por Región (G)'!P11</f>
        <v>34.279500250000005</v>
      </c>
      <c r="F13" s="204">
        <f>+E13/D13-1</f>
        <v>-4.526439501452495E-2</v>
      </c>
      <c r="G13" s="336">
        <f>'Por Región (G)'!Q11</f>
        <v>303.88750300000004</v>
      </c>
      <c r="H13" s="203">
        <f>'Por Región (G)'!R11</f>
        <v>309.09520324999994</v>
      </c>
      <c r="I13" s="204">
        <f>+H13/G13-1</f>
        <v>1.7136934551730709E-2</v>
      </c>
      <c r="J13" s="26"/>
      <c r="L13" s="142" t="s">
        <v>11</v>
      </c>
      <c r="M13" s="230">
        <f>E13</f>
        <v>34.279500250000005</v>
      </c>
    </row>
    <row r="14" spans="2:13" ht="13.8" thickBot="1">
      <c r="C14" s="207" t="s">
        <v>108</v>
      </c>
      <c r="D14" s="208">
        <f>SUM(D10:D13)</f>
        <v>4732.1823880000011</v>
      </c>
      <c r="E14" s="209">
        <f>SUM(E10:E13)</f>
        <v>4978.7550032583067</v>
      </c>
      <c r="F14" s="210">
        <f>+E14/D14-1</f>
        <v>5.2105475875902751E-2</v>
      </c>
      <c r="G14" s="337">
        <f>SUM(G10:G13)</f>
        <v>42696.13884900001</v>
      </c>
      <c r="H14" s="209">
        <f>SUM(H10:H13)</f>
        <v>44170.91101925986</v>
      </c>
      <c r="I14" s="210">
        <f>+H14/G14-1</f>
        <v>3.4541113318830918E-2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131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4" t="s">
        <v>93</v>
      </c>
      <c r="D18" s="394"/>
      <c r="E18" s="394"/>
      <c r="F18" s="394"/>
      <c r="G18" s="395" t="s">
        <v>107</v>
      </c>
      <c r="H18" s="396"/>
      <c r="I18" s="396"/>
      <c r="J18" s="396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29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5">
      <c r="C49" s="25"/>
      <c r="D49" s="19"/>
      <c r="E49" s="19"/>
      <c r="F49" s="19"/>
      <c r="G49" s="19"/>
      <c r="H49" s="19"/>
      <c r="I49" s="19"/>
      <c r="J49" s="19"/>
    </row>
    <row r="50" spans="3:15">
      <c r="C50" s="25"/>
      <c r="D50" s="19"/>
      <c r="E50" s="19"/>
      <c r="F50" s="19"/>
      <c r="G50" s="19"/>
      <c r="H50" s="19"/>
      <c r="I50" s="19"/>
      <c r="J50" s="19"/>
    </row>
    <row r="51" spans="3:15">
      <c r="C51" s="25"/>
      <c r="D51" s="19"/>
      <c r="E51" s="19"/>
      <c r="F51" s="19"/>
      <c r="G51" s="19"/>
      <c r="H51" s="19"/>
      <c r="I51" s="19"/>
      <c r="J51" s="19"/>
    </row>
    <row r="52" spans="3:15">
      <c r="C52" s="25"/>
      <c r="D52" s="19"/>
      <c r="E52" s="19"/>
      <c r="F52" s="19"/>
      <c r="G52" s="19"/>
      <c r="H52" s="19"/>
      <c r="I52" s="37"/>
      <c r="J52" s="19"/>
    </row>
    <row r="53" spans="3:15" ht="13.8" thickBot="1">
      <c r="C53" s="211" t="s">
        <v>98</v>
      </c>
      <c r="D53" s="87"/>
      <c r="E53" s="87"/>
      <c r="F53" s="87"/>
      <c r="G53" s="87"/>
      <c r="H53" s="87"/>
      <c r="I53" s="37"/>
      <c r="J53" s="19"/>
    </row>
    <row r="54" spans="3:15" ht="13.8">
      <c r="C54" s="390" t="s">
        <v>13</v>
      </c>
      <c r="D54" s="392" t="s">
        <v>132</v>
      </c>
      <c r="E54" s="393"/>
      <c r="F54" s="393"/>
      <c r="G54" s="393"/>
      <c r="H54" s="393"/>
      <c r="I54" s="19"/>
      <c r="J54" s="19"/>
    </row>
    <row r="55" spans="3:15">
      <c r="C55" s="391"/>
      <c r="D55" s="112" t="s">
        <v>14</v>
      </c>
      <c r="E55" s="113" t="s">
        <v>15</v>
      </c>
      <c r="F55" s="113" t="s">
        <v>5</v>
      </c>
      <c r="G55" s="113" t="s">
        <v>16</v>
      </c>
      <c r="H55" s="113" t="s">
        <v>71</v>
      </c>
      <c r="I55" s="19"/>
      <c r="J55" s="19"/>
    </row>
    <row r="56" spans="3:15">
      <c r="C56" s="212" t="s">
        <v>10</v>
      </c>
      <c r="D56" s="330">
        <f>'Resumen (G)'!F14-'PorZona (G)'!D58</f>
        <v>116.63920387499988</v>
      </c>
      <c r="E56" s="216">
        <v>95.543883507302994</v>
      </c>
      <c r="F56" s="216">
        <v>0</v>
      </c>
      <c r="G56" s="216">
        <v>142.25466196978971</v>
      </c>
      <c r="H56" s="216">
        <f>SUM(D56:G56)</f>
        <v>354.43774935209257</v>
      </c>
      <c r="I56" s="325"/>
      <c r="K56" s="302"/>
      <c r="L56" s="315"/>
      <c r="M56" s="315"/>
      <c r="N56" s="315"/>
      <c r="O56" s="315"/>
    </row>
    <row r="57" spans="3:15">
      <c r="C57" s="213" t="s">
        <v>9</v>
      </c>
      <c r="D57" s="331">
        <v>0</v>
      </c>
      <c r="E57" s="217">
        <v>1602.1805881908481</v>
      </c>
      <c r="F57" s="332">
        <v>6.4619999999999999E-3</v>
      </c>
      <c r="G57" s="217">
        <v>2457.7728313950429</v>
      </c>
      <c r="H57" s="217">
        <f>SUM(D57:G57)</f>
        <v>4059.9598815858908</v>
      </c>
      <c r="I57" s="325"/>
      <c r="K57" s="302"/>
      <c r="L57" s="315"/>
      <c r="M57" s="315"/>
      <c r="N57" s="315"/>
      <c r="O57" s="315"/>
    </row>
    <row r="58" spans="3:15">
      <c r="C58" s="213" t="s">
        <v>12</v>
      </c>
      <c r="D58" s="331">
        <v>85.918016040000026</v>
      </c>
      <c r="E58" s="217">
        <v>260.87438083177489</v>
      </c>
      <c r="F58" s="217">
        <f>'Resumen (G)'!D15</f>
        <v>75.047078277500006</v>
      </c>
      <c r="G58" s="217">
        <v>108.23839692104895</v>
      </c>
      <c r="H58" s="217">
        <f>SUM(D58:G58)</f>
        <v>530.07787207032391</v>
      </c>
      <c r="I58" s="325"/>
      <c r="K58" s="302"/>
      <c r="L58" s="315"/>
      <c r="M58" s="315"/>
      <c r="N58" s="315"/>
      <c r="O58" s="315"/>
    </row>
    <row r="59" spans="3:15">
      <c r="C59" s="214" t="s">
        <v>11</v>
      </c>
      <c r="D59" s="333">
        <v>0</v>
      </c>
      <c r="E59" s="218">
        <v>0</v>
      </c>
      <c r="F59" s="218">
        <v>0</v>
      </c>
      <c r="G59" s="218">
        <f>E13</f>
        <v>34.279500250000005</v>
      </c>
      <c r="H59" s="218">
        <f>SUM(D59:G59)</f>
        <v>34.279500250000005</v>
      </c>
      <c r="I59" s="325"/>
      <c r="K59" s="19"/>
      <c r="L59" s="315"/>
      <c r="M59" s="315"/>
    </row>
    <row r="60" spans="3:15" ht="13.8" thickBot="1">
      <c r="C60" s="114" t="s">
        <v>108</v>
      </c>
      <c r="D60" s="219">
        <f>SUM(D56:D59)</f>
        <v>202.55721991499991</v>
      </c>
      <c r="E60" s="220">
        <f>SUM(E56:E59)</f>
        <v>1958.598852529926</v>
      </c>
      <c r="F60" s="220">
        <f>SUM(F56:F59)</f>
        <v>75.053540277500005</v>
      </c>
      <c r="G60" s="220">
        <f>SUM(G56:G59)</f>
        <v>2742.5453905358818</v>
      </c>
      <c r="H60" s="220">
        <f>SUM(H56:H59)</f>
        <v>4978.7550032583067</v>
      </c>
      <c r="I60" s="19"/>
      <c r="J60" s="19"/>
    </row>
    <row r="61" spans="3:15" ht="6.75" customHeight="1">
      <c r="C61" s="19"/>
      <c r="D61" s="19"/>
      <c r="E61" s="19"/>
      <c r="F61" s="19"/>
      <c r="G61" s="19"/>
      <c r="H61" s="19"/>
      <c r="I61" s="19"/>
      <c r="J61" s="19"/>
    </row>
    <row r="62" spans="3:15">
      <c r="C62" s="19"/>
      <c r="D62" s="19"/>
      <c r="E62" s="19"/>
      <c r="F62" s="19"/>
      <c r="G62" s="19"/>
      <c r="H62" s="19"/>
      <c r="I62" s="19"/>
      <c r="J62" s="19"/>
    </row>
    <row r="63" spans="3:15">
      <c r="C63" s="19"/>
      <c r="D63" s="19"/>
      <c r="E63" s="19"/>
      <c r="F63" s="19"/>
      <c r="G63" s="19"/>
      <c r="H63" s="19"/>
      <c r="I63" s="19"/>
      <c r="J63" s="19"/>
    </row>
    <row r="64" spans="3:15">
      <c r="E64" s="328"/>
      <c r="H64" s="121"/>
    </row>
    <row r="65" spans="5:5">
      <c r="E65" s="121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view="pageBreakPreview" zoomScaleNormal="100" zoomScaleSheetLayoutView="100" workbookViewId="0">
      <selection activeCell="C1" sqref="C1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7" t="s">
        <v>60</v>
      </c>
      <c r="D6" s="397" t="s">
        <v>127</v>
      </c>
      <c r="E6" s="398"/>
      <c r="F6" s="385" t="s">
        <v>74</v>
      </c>
      <c r="G6" s="383" t="s">
        <v>128</v>
      </c>
      <c r="H6" s="384"/>
      <c r="I6" s="385" t="s">
        <v>74</v>
      </c>
      <c r="O6" s="47"/>
      <c r="P6" s="86"/>
      <c r="Q6" s="399" t="s">
        <v>116</v>
      </c>
      <c r="R6" s="399"/>
    </row>
    <row r="7" spans="3:19" ht="12.75" customHeight="1">
      <c r="C7" s="108"/>
      <c r="D7" s="109">
        <v>2021</v>
      </c>
      <c r="E7" s="95">
        <v>2022</v>
      </c>
      <c r="F7" s="386"/>
      <c r="G7" s="236">
        <v>2021</v>
      </c>
      <c r="H7" s="95">
        <v>2022</v>
      </c>
      <c r="I7" s="386"/>
      <c r="N7" s="54"/>
      <c r="O7" s="312">
        <v>2021</v>
      </c>
      <c r="P7" s="314">
        <v>2022</v>
      </c>
      <c r="Q7" s="54">
        <v>2020</v>
      </c>
      <c r="R7" s="54">
        <v>2021</v>
      </c>
    </row>
    <row r="8" spans="3:19" ht="20.100000000000001" customHeight="1">
      <c r="C8" s="116" t="s">
        <v>17</v>
      </c>
      <c r="D8" s="350">
        <v>4.7480849999999997</v>
      </c>
      <c r="E8" s="342">
        <v>4.4941568333333324</v>
      </c>
      <c r="F8" s="222">
        <f>+E8/D8-1</f>
        <v>-5.3480122337040581E-2</v>
      </c>
      <c r="G8" s="348">
        <v>35.469839</v>
      </c>
      <c r="H8" s="342">
        <v>36.227294833333332</v>
      </c>
      <c r="I8" s="222">
        <f>+H8/G8-1</f>
        <v>2.1354927304105598E-2</v>
      </c>
      <c r="J8" s="26"/>
      <c r="K8" s="46"/>
      <c r="L8" s="46"/>
      <c r="N8" s="57" t="s">
        <v>10</v>
      </c>
      <c r="O8" s="71">
        <f>SUM(D8,D13,D20,D21,D27,D29,D31)</f>
        <v>284.75209200000006</v>
      </c>
      <c r="P8" s="71">
        <f>SUM(E8,E13,E20,E21,E27,E29,E31)</f>
        <v>354.43774935209257</v>
      </c>
      <c r="Q8" s="71">
        <f>SUM(G8,G13,G20,G21,G27,G29,G31)</f>
        <v>2795.2965789999998</v>
      </c>
      <c r="R8" s="71">
        <f>SUM(H8,H13,H20,H21,H27,H29,H31)</f>
        <v>2995.4117131028661</v>
      </c>
    </row>
    <row r="9" spans="3:19" ht="20.100000000000001" customHeight="1">
      <c r="C9" s="117" t="s">
        <v>18</v>
      </c>
      <c r="D9" s="221">
        <v>105.19168800000001</v>
      </c>
      <c r="E9" s="280">
        <v>119.56530178930983</v>
      </c>
      <c r="F9" s="223">
        <f t="shared" ref="F9:F32" si="0">+E9/D9-1</f>
        <v>0.13664210606934857</v>
      </c>
      <c r="G9" s="237">
        <v>1701.7487929999998</v>
      </c>
      <c r="H9" s="280">
        <v>1648.7298753718098</v>
      </c>
      <c r="I9" s="291">
        <f t="shared" ref="I9:I32" si="1">+H9/G9-1</f>
        <v>-3.115554883674887E-2</v>
      </c>
      <c r="J9" s="26"/>
      <c r="K9" s="46"/>
      <c r="L9" s="46"/>
      <c r="N9" s="57" t="s">
        <v>9</v>
      </c>
      <c r="O9" s="312">
        <f>SUM(D9,D14,D16,D17,D19,D22,D26,D32)</f>
        <v>3937.0742850000015</v>
      </c>
      <c r="P9" s="312">
        <f>SUM(E9,E14,E16,E17,E19,E22,E26,E32)</f>
        <v>4059.9598815858908</v>
      </c>
      <c r="Q9" s="312">
        <f>SUM(G9,G14,G16,G17,G19,G22,G26,G32)</f>
        <v>34364.752159000011</v>
      </c>
      <c r="R9" s="312">
        <f>SUM(H9,H14,H16,H17,H19,H22,H26,H32)</f>
        <v>35630.59215977406</v>
      </c>
    </row>
    <row r="10" spans="3:19" ht="20.100000000000001" customHeight="1">
      <c r="C10" s="118" t="s">
        <v>19</v>
      </c>
      <c r="D10" s="221">
        <v>2.6050650000000002</v>
      </c>
      <c r="E10" s="280">
        <v>3.2595103758987904</v>
      </c>
      <c r="F10" s="223">
        <f t="shared" si="0"/>
        <v>0.25122036336858788</v>
      </c>
      <c r="G10" s="237">
        <v>34.703968000000003</v>
      </c>
      <c r="H10" s="280">
        <v>35.988038375898796</v>
      </c>
      <c r="I10" s="223">
        <f t="shared" si="1"/>
        <v>3.7000678881988103E-2</v>
      </c>
      <c r="J10" s="26"/>
      <c r="K10" s="46"/>
      <c r="L10" s="46"/>
      <c r="N10" s="54" t="s">
        <v>12</v>
      </c>
      <c r="O10" s="312">
        <f>SUM(D10,D11,D12,D15,D18,D24,D25,D28,D30)</f>
        <v>474.45130600000005</v>
      </c>
      <c r="P10" s="312">
        <f>SUM(E10,E11,E12,E15,E18,E24,E25,E28,E30)</f>
        <v>530.07787207032391</v>
      </c>
      <c r="Q10" s="312">
        <f>SUM(G10,G11,G12,G15,G18,G24,G25,G28,G30)</f>
        <v>5232.2026079999996</v>
      </c>
      <c r="R10" s="312">
        <f>SUM(H10,H11,H12,H15,H18,H24,H25,H28,H30)</f>
        <v>5235.8119431329324</v>
      </c>
    </row>
    <row r="11" spans="3:19" ht="20.100000000000001" customHeight="1">
      <c r="C11" s="117" t="s">
        <v>20</v>
      </c>
      <c r="D11" s="221">
        <v>98.215694000000013</v>
      </c>
      <c r="E11" s="280">
        <v>98.675094223804365</v>
      </c>
      <c r="F11" s="291">
        <f t="shared" si="0"/>
        <v>4.6774624817531585E-3</v>
      </c>
      <c r="G11" s="237">
        <v>917.72866699999997</v>
      </c>
      <c r="H11" s="280">
        <v>859.6502527264131</v>
      </c>
      <c r="I11" s="223">
        <f t="shared" si="1"/>
        <v>-6.328495160060954E-2</v>
      </c>
      <c r="J11" s="26"/>
      <c r="K11" s="46"/>
      <c r="L11" s="46"/>
      <c r="N11" s="313" t="s">
        <v>11</v>
      </c>
      <c r="O11" s="71">
        <f>D23</f>
        <v>35.904704999999993</v>
      </c>
      <c r="P11" s="71">
        <f>E23</f>
        <v>34.279500250000005</v>
      </c>
      <c r="Q11" s="71">
        <f>G23</f>
        <v>303.88750300000004</v>
      </c>
      <c r="R11" s="71">
        <f>H23</f>
        <v>309.09520324999994</v>
      </c>
    </row>
    <row r="12" spans="3:19" ht="20.100000000000001" customHeight="1">
      <c r="C12" s="117" t="s">
        <v>21</v>
      </c>
      <c r="D12" s="351">
        <v>0.88105000000000011</v>
      </c>
      <c r="E12" s="352">
        <v>0.85778891666666668</v>
      </c>
      <c r="F12" s="223">
        <f t="shared" si="0"/>
        <v>-2.6401547396099456E-2</v>
      </c>
      <c r="G12" s="237">
        <v>7.4126880000000011</v>
      </c>
      <c r="H12" s="280">
        <v>7.8747669166666663</v>
      </c>
      <c r="I12" s="223">
        <f t="shared" si="1"/>
        <v>6.2336215508687953E-2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7" t="s">
        <v>22</v>
      </c>
      <c r="D13" s="221">
        <v>87.996759000000011</v>
      </c>
      <c r="E13" s="280">
        <v>68.945609895000004</v>
      </c>
      <c r="F13" s="223">
        <f t="shared" si="0"/>
        <v>-0.2164983042727745</v>
      </c>
      <c r="G13" s="237">
        <v>1068.399406</v>
      </c>
      <c r="H13" s="280">
        <v>1084.8982370174997</v>
      </c>
      <c r="I13" s="223">
        <f t="shared" si="1"/>
        <v>1.5442568504666188E-2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7" t="s">
        <v>59</v>
      </c>
      <c r="D14" s="221">
        <v>329.318577</v>
      </c>
      <c r="E14" s="280">
        <v>350.52462428749982</v>
      </c>
      <c r="F14" s="223">
        <f t="shared" si="0"/>
        <v>6.4393717113322202E-2</v>
      </c>
      <c r="G14" s="237">
        <v>2235.0863519999998</v>
      </c>
      <c r="H14" s="280">
        <v>2486.7072536550004</v>
      </c>
      <c r="I14" s="223">
        <f t="shared" si="1"/>
        <v>0.11257770932646305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7" t="s">
        <v>23</v>
      </c>
      <c r="D15" s="221">
        <v>122.36576500000001</v>
      </c>
      <c r="E15" s="280">
        <v>141.46184936549838</v>
      </c>
      <c r="F15" s="223">
        <f t="shared" si="0"/>
        <v>0.15605741005663121</v>
      </c>
      <c r="G15" s="237">
        <v>1548.9079079999999</v>
      </c>
      <c r="H15" s="280">
        <v>1526.6758623254984</v>
      </c>
      <c r="I15" s="291">
        <f t="shared" si="1"/>
        <v>-1.435336830529077E-2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7" t="s">
        <v>24</v>
      </c>
      <c r="D16" s="221">
        <v>725.82018600000004</v>
      </c>
      <c r="E16" s="280">
        <v>706.21614696000017</v>
      </c>
      <c r="F16" s="223">
        <f t="shared" si="0"/>
        <v>-2.7009498245065156E-2</v>
      </c>
      <c r="G16" s="237">
        <v>7797.7367949999989</v>
      </c>
      <c r="H16" s="280">
        <v>7612.6052412178115</v>
      </c>
      <c r="I16" s="291">
        <f t="shared" si="1"/>
        <v>-2.3741703349219989E-2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7" t="s">
        <v>25</v>
      </c>
      <c r="D17" s="221">
        <v>84.492131000000001</v>
      </c>
      <c r="E17" s="280">
        <v>61.097537147500027</v>
      </c>
      <c r="F17" s="223">
        <f t="shared" si="0"/>
        <v>-0.27688488354613727</v>
      </c>
      <c r="G17" s="237">
        <v>1768.7634170000003</v>
      </c>
      <c r="H17" s="280">
        <v>1712.8496979399999</v>
      </c>
      <c r="I17" s="291">
        <f t="shared" si="1"/>
        <v>-3.1611756848089811E-2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7" t="s">
        <v>26</v>
      </c>
      <c r="D18" s="221">
        <v>117.42202300000001</v>
      </c>
      <c r="E18" s="280">
        <v>126.47151768000003</v>
      </c>
      <c r="F18" s="223">
        <f t="shared" si="0"/>
        <v>7.7068121028710523E-2</v>
      </c>
      <c r="G18" s="237">
        <v>1267.417414</v>
      </c>
      <c r="H18" s="280">
        <v>1319.102612745</v>
      </c>
      <c r="I18" s="223">
        <f t="shared" si="1"/>
        <v>4.0779934198537093E-2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7" t="s">
        <v>27</v>
      </c>
      <c r="D19" s="221">
        <v>159.63553899999999</v>
      </c>
      <c r="E19" s="280">
        <v>183.2723207416268</v>
      </c>
      <c r="F19" s="223">
        <f t="shared" si="0"/>
        <v>0.14806716530475583</v>
      </c>
      <c r="G19" s="237">
        <v>2276.7938659999995</v>
      </c>
      <c r="H19" s="280">
        <v>2499.514392939127</v>
      </c>
      <c r="I19" s="291">
        <f t="shared" si="1"/>
        <v>9.7821998848940828E-2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7" t="s">
        <v>28</v>
      </c>
      <c r="D20" s="221">
        <v>61.678666000000007</v>
      </c>
      <c r="E20" s="280">
        <v>119.49973595416439</v>
      </c>
      <c r="F20" s="291">
        <f t="shared" si="0"/>
        <v>0.93745655838542907</v>
      </c>
      <c r="G20" s="237">
        <v>499.38439699999998</v>
      </c>
      <c r="H20" s="280">
        <v>582.95395331743805</v>
      </c>
      <c r="I20" s="223">
        <f t="shared" si="1"/>
        <v>0.16734514898637909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7" t="s">
        <v>29</v>
      </c>
      <c r="D21" s="221">
        <v>4.7170870000000003</v>
      </c>
      <c r="E21" s="280">
        <v>5.1751238975000007</v>
      </c>
      <c r="F21" s="223">
        <f t="shared" si="0"/>
        <v>9.7101642920726317E-2</v>
      </c>
      <c r="G21" s="237">
        <v>46.344175999999997</v>
      </c>
      <c r="H21" s="280">
        <v>47.20585373250001</v>
      </c>
      <c r="I21" s="223">
        <f t="shared" si="1"/>
        <v>1.8593010101204843E-2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7" t="s">
        <v>30</v>
      </c>
      <c r="D22" s="221">
        <v>2436.9743200000012</v>
      </c>
      <c r="E22" s="280">
        <v>2536.7023597139514</v>
      </c>
      <c r="F22" s="223">
        <f t="shared" si="0"/>
        <v>4.0922893152993911E-2</v>
      </c>
      <c r="G22" s="237">
        <v>17746.244006000004</v>
      </c>
      <c r="H22" s="280">
        <v>18763.839625108136</v>
      </c>
      <c r="I22" s="223">
        <f t="shared" si="1"/>
        <v>5.7341464411516219E-2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7" t="s">
        <v>31</v>
      </c>
      <c r="D23" s="221">
        <v>35.904704999999993</v>
      </c>
      <c r="E23" s="280">
        <v>34.279500250000005</v>
      </c>
      <c r="F23" s="223">
        <f t="shared" si="0"/>
        <v>-4.526439501452495E-2</v>
      </c>
      <c r="G23" s="237">
        <v>303.88750300000004</v>
      </c>
      <c r="H23" s="280">
        <v>309.09520324999994</v>
      </c>
      <c r="I23" s="223">
        <f t="shared" si="1"/>
        <v>1.7136934551730709E-2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7" t="s">
        <v>32</v>
      </c>
      <c r="D24" s="340">
        <v>0.11872700000000001</v>
      </c>
      <c r="E24" s="307">
        <v>0.28208601912387121</v>
      </c>
      <c r="F24" s="223">
        <f t="shared" si="0"/>
        <v>1.3759213921338129</v>
      </c>
      <c r="G24" s="339">
        <v>1.4781280000000001</v>
      </c>
      <c r="H24" s="307">
        <v>1.3367844391238712</v>
      </c>
      <c r="I24" s="291">
        <f t="shared" si="1"/>
        <v>-9.5623356621435285E-2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7" t="s">
        <v>33</v>
      </c>
      <c r="D25" s="221">
        <v>64.646715999999998</v>
      </c>
      <c r="E25" s="280">
        <v>65.023812337500033</v>
      </c>
      <c r="F25" s="223">
        <f t="shared" si="0"/>
        <v>5.8331862905462994E-3</v>
      </c>
      <c r="G25" s="237">
        <v>538.26806599999998</v>
      </c>
      <c r="H25" s="280">
        <v>522.48994166499995</v>
      </c>
      <c r="I25" s="223">
        <f t="shared" si="1"/>
        <v>-2.9312763159537014E-2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7" t="s">
        <v>34</v>
      </c>
      <c r="D26" s="221">
        <v>40.901865999999991</v>
      </c>
      <c r="E26" s="280">
        <v>54.068499726002209</v>
      </c>
      <c r="F26" s="223">
        <f t="shared" si="0"/>
        <v>0.32190789843187639</v>
      </c>
      <c r="G26" s="237">
        <v>634.41283499999997</v>
      </c>
      <c r="H26" s="280">
        <v>693.65092852967791</v>
      </c>
      <c r="I26" s="223">
        <f t="shared" si="1"/>
        <v>9.3374676963586145E-2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7" t="s">
        <v>35</v>
      </c>
      <c r="D27" s="221">
        <v>120.83872100000001</v>
      </c>
      <c r="E27" s="280">
        <v>152.76538227209483</v>
      </c>
      <c r="F27" s="223">
        <f t="shared" si="0"/>
        <v>0.2642088645749141</v>
      </c>
      <c r="G27" s="237">
        <v>1101.0827319999999</v>
      </c>
      <c r="H27" s="280">
        <v>1200.1298627020949</v>
      </c>
      <c r="I27" s="223">
        <f t="shared" si="1"/>
        <v>8.9954303907923805E-2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7" t="s">
        <v>36</v>
      </c>
      <c r="D28" s="221">
        <v>55.219439000000001</v>
      </c>
      <c r="E28" s="280">
        <v>67.520007712089594</v>
      </c>
      <c r="F28" s="223">
        <f t="shared" si="0"/>
        <v>0.22275794421036399</v>
      </c>
      <c r="G28" s="237">
        <v>799.76022699999999</v>
      </c>
      <c r="H28" s="280">
        <v>833.14062548708955</v>
      </c>
      <c r="I28" s="291">
        <f t="shared" si="1"/>
        <v>4.173800766800273E-2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7" t="s">
        <v>37</v>
      </c>
      <c r="D29" s="221">
        <v>3.6722260000000002</v>
      </c>
      <c r="E29" s="280">
        <v>2.4571925000000001</v>
      </c>
      <c r="F29" s="223">
        <f t="shared" si="0"/>
        <v>-0.33087111196315255</v>
      </c>
      <c r="G29" s="237">
        <v>34.711096999999995</v>
      </c>
      <c r="H29" s="280">
        <v>34.091579499999995</v>
      </c>
      <c r="I29" s="291">
        <f t="shared" si="1"/>
        <v>-1.7847822556573245E-2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7" t="s">
        <v>38</v>
      </c>
      <c r="D30" s="221">
        <v>12.976827000000002</v>
      </c>
      <c r="E30" s="280">
        <v>26.526205439742146</v>
      </c>
      <c r="F30" s="291">
        <f t="shared" si="0"/>
        <v>1.044121065938703</v>
      </c>
      <c r="G30" s="237">
        <v>116.52554199999999</v>
      </c>
      <c r="H30" s="280">
        <v>129.55305845224217</v>
      </c>
      <c r="I30" s="223">
        <f t="shared" si="1"/>
        <v>0.1117996640791612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7" t="s">
        <v>39</v>
      </c>
      <c r="D31" s="221">
        <v>1.1005480000000001</v>
      </c>
      <c r="E31" s="280">
        <v>1.1005480000000001</v>
      </c>
      <c r="F31" s="291">
        <f>+E31/D31-1</f>
        <v>0</v>
      </c>
      <c r="G31" s="237">
        <v>9.9049320000000005</v>
      </c>
      <c r="H31" s="280">
        <v>9.9049320000000005</v>
      </c>
      <c r="I31" s="223">
        <f t="shared" si="1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19" t="s">
        <v>40</v>
      </c>
      <c r="D32" s="215">
        <v>54.739978000000001</v>
      </c>
      <c r="E32" s="281">
        <v>48.513091220000014</v>
      </c>
      <c r="F32" s="224">
        <f t="shared" si="0"/>
        <v>-0.11375391455217587</v>
      </c>
      <c r="G32" s="238">
        <v>203.96609500000002</v>
      </c>
      <c r="H32" s="281">
        <v>212.69514501250001</v>
      </c>
      <c r="I32" s="224">
        <f t="shared" si="1"/>
        <v>4.2796573678090866E-2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24" t="s">
        <v>108</v>
      </c>
      <c r="D33" s="110">
        <f>SUM(D8:D32)</f>
        <v>4732.182388000002</v>
      </c>
      <c r="E33" s="282">
        <f>SUM(E8:E32)</f>
        <v>4978.7550032583076</v>
      </c>
      <c r="F33" s="115">
        <f>+E33/D33-1</f>
        <v>5.2105475875902751E-2</v>
      </c>
      <c r="G33" s="239">
        <f>SUM(G8:G32)</f>
        <v>42696.13884900001</v>
      </c>
      <c r="H33" s="282">
        <f>SUM(H8:H32)</f>
        <v>44170.911019259853</v>
      </c>
      <c r="I33" s="240">
        <f>+H33/G33-1</f>
        <v>3.4541113318830696E-2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129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41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2536.7023597139514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706.21614696000017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350.52462428749982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183.2723207416268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35</v>
      </c>
      <c r="O48" s="53">
        <v>152.76538227209483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23</v>
      </c>
      <c r="O49" s="53">
        <v>141.46184936549838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26</v>
      </c>
      <c r="O50" s="52">
        <v>126.47151768000003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18</v>
      </c>
      <c r="O51" s="53">
        <v>119.56530178930983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28</v>
      </c>
      <c r="O52" s="53">
        <v>119.49973595416439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20</v>
      </c>
      <c r="O53" s="53">
        <v>98.675094223804365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22</v>
      </c>
      <c r="O54" s="53">
        <v>68.945609895000004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36</v>
      </c>
      <c r="O55" s="52">
        <v>67.520007712089594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33</v>
      </c>
      <c r="O56" s="53">
        <v>65.023812337500033</v>
      </c>
      <c r="P56" s="8"/>
      <c r="S56" s="91"/>
    </row>
    <row r="57" spans="3:19">
      <c r="N57" s="51" t="s">
        <v>25</v>
      </c>
      <c r="O57" s="52">
        <v>61.097537147500027</v>
      </c>
      <c r="S57" s="91"/>
    </row>
    <row r="58" spans="3:19">
      <c r="N58" s="51" t="s">
        <v>34</v>
      </c>
      <c r="O58" s="52">
        <v>54.068499726002209</v>
      </c>
      <c r="S58" s="91"/>
    </row>
    <row r="59" spans="3:19">
      <c r="N59" s="51" t="s">
        <v>40</v>
      </c>
      <c r="O59" s="52">
        <v>48.513091220000014</v>
      </c>
      <c r="S59" s="91"/>
    </row>
    <row r="60" spans="3:19">
      <c r="N60" s="51" t="s">
        <v>31</v>
      </c>
      <c r="O60" s="52">
        <v>34.279500250000005</v>
      </c>
      <c r="S60" s="91"/>
    </row>
    <row r="61" spans="3:19">
      <c r="N61" s="51" t="s">
        <v>38</v>
      </c>
      <c r="O61" s="52">
        <v>26.526205439742146</v>
      </c>
      <c r="S61" s="91"/>
    </row>
    <row r="62" spans="3:19">
      <c r="N62" s="51" t="s">
        <v>29</v>
      </c>
      <c r="O62" s="52">
        <v>5.1751238975000007</v>
      </c>
      <c r="S62" s="91"/>
    </row>
    <row r="63" spans="3:19">
      <c r="N63" s="50" t="s">
        <v>17</v>
      </c>
      <c r="O63" s="53">
        <v>4.4941568333333324</v>
      </c>
      <c r="S63" s="91"/>
    </row>
    <row r="64" spans="3:19">
      <c r="N64" s="50" t="s">
        <v>19</v>
      </c>
      <c r="O64" s="53">
        <v>3.2595103758987904</v>
      </c>
      <c r="S64" s="91"/>
    </row>
    <row r="65" spans="6:19">
      <c r="N65" s="50" t="s">
        <v>37</v>
      </c>
      <c r="O65" s="53">
        <v>2.4571925000000001</v>
      </c>
      <c r="S65" s="120"/>
    </row>
    <row r="66" spans="6:19">
      <c r="N66" s="50" t="s">
        <v>39</v>
      </c>
      <c r="O66" s="53">
        <v>1.1005480000000001</v>
      </c>
      <c r="S66" s="91"/>
    </row>
    <row r="67" spans="6:19">
      <c r="N67" s="51" t="s">
        <v>21</v>
      </c>
      <c r="O67" s="52">
        <v>0.85778891666666668</v>
      </c>
      <c r="S67" s="91"/>
    </row>
    <row r="68" spans="6:19">
      <c r="N68" s="9" t="s">
        <v>32</v>
      </c>
      <c r="O68" s="52">
        <v>0.28208601912387121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Paz Herrera Daniel Alfredo</cp:lastModifiedBy>
  <cp:lastPrinted>2019-06-07T20:06:27Z</cp:lastPrinted>
  <dcterms:created xsi:type="dcterms:W3CDTF">2018-08-23T14:00:28Z</dcterms:created>
  <dcterms:modified xsi:type="dcterms:W3CDTF">2022-10-17T22:20:56Z</dcterms:modified>
</cp:coreProperties>
</file>